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HIV share\Services Master\HOPWA\HOPWA DSHS Program Forms\Reporting\HOPWA 2024 Reporting Forms\"/>
    </mc:Choice>
  </mc:AlternateContent>
  <xr:revisionPtr revIDLastSave="0" documentId="13_ncr:1_{42B36AA4-3690-4EF7-B7FD-10421E68D70C}" xr6:coauthVersionLast="47" xr6:coauthVersionMax="47" xr10:uidLastSave="{00000000-0000-0000-0000-000000000000}"/>
  <bookViews>
    <workbookView xWindow="-120" yWindow="-120" windowWidth="29040" windowHeight="15840" xr2:uid="{00000000-000D-0000-FFFF-FFFF00000000}"/>
  </bookViews>
  <sheets>
    <sheet name="PPR for Project Sponso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0" i="1" l="1"/>
  <c r="B403" i="1"/>
  <c r="B356" i="1"/>
  <c r="AQ361" i="1"/>
  <c r="AQ387" i="1"/>
  <c r="AM495" i="1" l="1"/>
  <c r="AM496" i="1"/>
  <c r="AM497" i="1"/>
  <c r="AM498" i="1"/>
  <c r="AM499" i="1"/>
  <c r="AM500" i="1"/>
  <c r="AM501" i="1"/>
  <c r="AM502" i="1"/>
  <c r="AM503" i="1"/>
  <c r="AM504" i="1"/>
  <c r="AM505" i="1"/>
  <c r="AM506" i="1"/>
  <c r="AM507" i="1"/>
  <c r="AM508" i="1"/>
  <c r="AM509" i="1"/>
  <c r="AM494" i="1"/>
  <c r="AP499" i="1"/>
  <c r="AW499" i="1" s="1"/>
  <c r="AP498" i="1"/>
  <c r="AW498" i="1" s="1"/>
  <c r="AO499" i="1"/>
  <c r="AD164" i="1"/>
  <c r="AG164" i="1"/>
  <c r="AG159" i="1"/>
  <c r="AU488" i="1"/>
  <c r="AU487" i="1"/>
  <c r="AU486" i="1"/>
  <c r="AU485" i="1"/>
  <c r="AP401" i="1"/>
  <c r="AP196" i="1"/>
  <c r="AP187" i="1"/>
  <c r="R159" i="1"/>
  <c r="U159" i="1"/>
  <c r="X159" i="1"/>
  <c r="AS149" i="1"/>
  <c r="AS150" i="1"/>
  <c r="AS148" i="1"/>
  <c r="AP129" i="1"/>
  <c r="AQ129" i="1"/>
  <c r="AR129" i="1"/>
  <c r="AS129" i="1"/>
  <c r="AP130" i="1"/>
  <c r="AQ130" i="1"/>
  <c r="AR130" i="1"/>
  <c r="AS130" i="1"/>
  <c r="AP131" i="1"/>
  <c r="AQ131" i="1"/>
  <c r="AR131" i="1"/>
  <c r="AS131" i="1"/>
  <c r="AP132" i="1"/>
  <c r="AQ132" i="1"/>
  <c r="AR132" i="1"/>
  <c r="AS132" i="1"/>
  <c r="AP133" i="1"/>
  <c r="AQ133" i="1"/>
  <c r="AR133" i="1"/>
  <c r="AS133" i="1"/>
  <c r="AP134" i="1"/>
  <c r="AQ134" i="1"/>
  <c r="AR134" i="1"/>
  <c r="AS134" i="1"/>
  <c r="AP135" i="1"/>
  <c r="AQ135" i="1"/>
  <c r="AR135" i="1"/>
  <c r="AS135" i="1"/>
  <c r="AS128" i="1"/>
  <c r="AR128" i="1"/>
  <c r="AQ128" i="1"/>
  <c r="AP128" i="1"/>
  <c r="AY544" i="1"/>
  <c r="AX544" i="1"/>
  <c r="AW544" i="1"/>
  <c r="AV544" i="1"/>
  <c r="AU544" i="1"/>
  <c r="AT544" i="1"/>
  <c r="AS544" i="1"/>
  <c r="AM559" i="1"/>
  <c r="AT534" i="1"/>
  <c r="AS534" i="1"/>
  <c r="AR534" i="1"/>
  <c r="AQ534" i="1"/>
  <c r="AP534" i="1"/>
  <c r="AO534" i="1"/>
  <c r="AN534" i="1"/>
  <c r="AM534" i="1"/>
  <c r="AT532" i="1"/>
  <c r="AS532" i="1"/>
  <c r="AR532" i="1"/>
  <c r="AQ532" i="1"/>
  <c r="AP532" i="1"/>
  <c r="AO532" i="1"/>
  <c r="AN532" i="1"/>
  <c r="AM532" i="1"/>
  <c r="AT531" i="1"/>
  <c r="AY551" i="1" s="1"/>
  <c r="AS531" i="1"/>
  <c r="AX551" i="1" s="1"/>
  <c r="AR531" i="1"/>
  <c r="AQ531" i="1"/>
  <c r="AP531" i="1"/>
  <c r="AU551" i="1" s="1"/>
  <c r="AO531" i="1"/>
  <c r="AN531" i="1"/>
  <c r="AS551" i="1" s="1"/>
  <c r="AM531" i="1"/>
  <c r="AR551" i="1" s="1"/>
  <c r="AT529" i="1"/>
  <c r="AS529" i="1"/>
  <c r="AR529" i="1"/>
  <c r="AQ529" i="1"/>
  <c r="AP529" i="1"/>
  <c r="AO529" i="1"/>
  <c r="AN529" i="1"/>
  <c r="AM529" i="1"/>
  <c r="AT528" i="1"/>
  <c r="AY550" i="1" s="1"/>
  <c r="AS528" i="1"/>
  <c r="AX550" i="1" s="1"/>
  <c r="AR528" i="1"/>
  <c r="AW550" i="1" s="1"/>
  <c r="AQ528" i="1"/>
  <c r="AP528" i="1"/>
  <c r="AU550" i="1" s="1"/>
  <c r="AO528" i="1"/>
  <c r="AN528" i="1"/>
  <c r="AM528" i="1"/>
  <c r="AT526" i="1"/>
  <c r="AY546" i="1" s="1"/>
  <c r="AS526" i="1"/>
  <c r="AR526" i="1"/>
  <c r="AQ526" i="1"/>
  <c r="AV546" i="1" s="1"/>
  <c r="AP526" i="1"/>
  <c r="AU546" i="1" s="1"/>
  <c r="AO526" i="1"/>
  <c r="AT546" i="1" s="1"/>
  <c r="AN526" i="1"/>
  <c r="AS546" i="1" s="1"/>
  <c r="AM526" i="1"/>
  <c r="AR546" i="1" s="1"/>
  <c r="AT525" i="1"/>
  <c r="AS525" i="1"/>
  <c r="AX537" i="1" s="1"/>
  <c r="AR525" i="1"/>
  <c r="AQ525" i="1"/>
  <c r="AP525" i="1"/>
  <c r="AO525" i="1"/>
  <c r="AT549" i="1" s="1"/>
  <c r="AN525" i="1"/>
  <c r="AS549" i="1" s="1"/>
  <c r="AM525" i="1"/>
  <c r="AR537" i="1" s="1"/>
  <c r="AM520" i="1"/>
  <c r="AN520" i="1"/>
  <c r="AO520" i="1"/>
  <c r="AP520" i="1"/>
  <c r="AQ520" i="1"/>
  <c r="AR520" i="1"/>
  <c r="AS520" i="1"/>
  <c r="AT520" i="1"/>
  <c r="AT519" i="1"/>
  <c r="AS519" i="1"/>
  <c r="AR519" i="1"/>
  <c r="AQ519" i="1"/>
  <c r="AP519" i="1"/>
  <c r="AO519" i="1"/>
  <c r="AN519" i="1"/>
  <c r="AM519" i="1"/>
  <c r="AM523" i="1"/>
  <c r="AN523" i="1"/>
  <c r="AO523" i="1"/>
  <c r="AP523" i="1"/>
  <c r="AQ523" i="1"/>
  <c r="AR523" i="1"/>
  <c r="AS523" i="1"/>
  <c r="AT523" i="1"/>
  <c r="AT522" i="1"/>
  <c r="AS522" i="1"/>
  <c r="AR522" i="1"/>
  <c r="AQ522" i="1"/>
  <c r="AP522" i="1"/>
  <c r="AO522" i="1"/>
  <c r="AN522" i="1"/>
  <c r="AM522" i="1"/>
  <c r="AM515" i="1"/>
  <c r="AN515" i="1"/>
  <c r="AO515" i="1"/>
  <c r="AP515" i="1"/>
  <c r="AQ515" i="1"/>
  <c r="AR515" i="1"/>
  <c r="AS515" i="1"/>
  <c r="AT515" i="1"/>
  <c r="AM516" i="1"/>
  <c r="AN516" i="1"/>
  <c r="AO516" i="1"/>
  <c r="AP516" i="1"/>
  <c r="AQ516" i="1"/>
  <c r="AR516" i="1"/>
  <c r="AS516" i="1"/>
  <c r="AT516" i="1"/>
  <c r="AM517" i="1"/>
  <c r="AN517" i="1"/>
  <c r="AO517" i="1"/>
  <c r="AP517" i="1"/>
  <c r="AQ517" i="1"/>
  <c r="AR517" i="1"/>
  <c r="AS517" i="1"/>
  <c r="AT517" i="1"/>
  <c r="AT514" i="1"/>
  <c r="AS514" i="1"/>
  <c r="AR514" i="1"/>
  <c r="AQ514" i="1"/>
  <c r="AP514" i="1"/>
  <c r="AO514" i="1"/>
  <c r="AN514" i="1"/>
  <c r="AM514" i="1"/>
  <c r="AR544" i="1"/>
  <c r="R536" i="1"/>
  <c r="AS543" i="1" s="1"/>
  <c r="U536" i="1"/>
  <c r="AT543" i="1" s="1"/>
  <c r="X536" i="1"/>
  <c r="AU543" i="1" s="1"/>
  <c r="AA536" i="1"/>
  <c r="AV543" i="1" s="1"/>
  <c r="AD536" i="1"/>
  <c r="AW543" i="1" s="1"/>
  <c r="AG536" i="1"/>
  <c r="AX543" i="1" s="1"/>
  <c r="AJ536" i="1"/>
  <c r="AY543" i="1" s="1"/>
  <c r="O536" i="1"/>
  <c r="AR543" i="1" s="1"/>
  <c r="R537" i="1"/>
  <c r="U537" i="1"/>
  <c r="X537" i="1"/>
  <c r="AA537" i="1"/>
  <c r="AD537" i="1"/>
  <c r="AG537" i="1"/>
  <c r="AJ537" i="1"/>
  <c r="O537" i="1"/>
  <c r="AO550" i="1"/>
  <c r="AO549" i="1"/>
  <c r="AO548" i="1"/>
  <c r="AO547" i="1"/>
  <c r="AO546" i="1"/>
  <c r="AO545" i="1"/>
  <c r="AV503" i="1"/>
  <c r="AN509" i="1"/>
  <c r="AT509" i="1" s="1"/>
  <c r="AN508" i="1"/>
  <c r="AT508" i="1" s="1"/>
  <c r="AN506" i="1"/>
  <c r="AT506" i="1" s="1"/>
  <c r="AN504" i="1"/>
  <c r="AT504" i="1" s="1"/>
  <c r="AN507" i="1"/>
  <c r="AT507" i="1" s="1"/>
  <c r="AN505" i="1"/>
  <c r="AT505" i="1" s="1"/>
  <c r="AX509" i="1"/>
  <c r="AX508" i="1"/>
  <c r="AX506" i="1"/>
  <c r="AX504" i="1"/>
  <c r="AY507" i="1"/>
  <c r="AY505" i="1"/>
  <c r="AO501" i="1"/>
  <c r="AP501" i="1"/>
  <c r="AO502" i="1"/>
  <c r="AS502" i="1" s="1"/>
  <c r="AP502" i="1"/>
  <c r="AW502" i="1" s="1"/>
  <c r="AO503" i="1"/>
  <c r="AP503" i="1"/>
  <c r="AW503" i="1" s="1"/>
  <c r="AO504" i="1"/>
  <c r="AP504" i="1"/>
  <c r="AW504" i="1" s="1"/>
  <c r="AO505" i="1"/>
  <c r="AP505" i="1"/>
  <c r="AW505" i="1" s="1"/>
  <c r="AO506" i="1"/>
  <c r="AP506" i="1"/>
  <c r="AW506" i="1" s="1"/>
  <c r="AO507" i="1"/>
  <c r="AP507" i="1"/>
  <c r="AW507" i="1" s="1"/>
  <c r="AO508" i="1"/>
  <c r="AP508" i="1"/>
  <c r="AW508" i="1" s="1"/>
  <c r="AO509" i="1"/>
  <c r="AP509" i="1"/>
  <c r="AW509" i="1" s="1"/>
  <c r="AP500" i="1"/>
  <c r="AO500" i="1"/>
  <c r="AO498" i="1"/>
  <c r="AP497" i="1"/>
  <c r="AO497" i="1"/>
  <c r="AP496" i="1"/>
  <c r="AW496" i="1" s="1"/>
  <c r="AO496" i="1"/>
  <c r="AP495" i="1"/>
  <c r="AW495" i="1" s="1"/>
  <c r="AO495" i="1"/>
  <c r="AP494" i="1"/>
  <c r="AW494" i="1" s="1"/>
  <c r="AO494" i="1"/>
  <c r="AN465" i="1"/>
  <c r="AT488" i="1" s="1"/>
  <c r="AN428" i="1"/>
  <c r="AT487" i="1" s="1"/>
  <c r="AN380" i="1"/>
  <c r="AT486" i="1" s="1"/>
  <c r="AN334" i="1"/>
  <c r="AT485" i="1" s="1"/>
  <c r="AN453" i="1"/>
  <c r="AN412" i="1"/>
  <c r="AN364" i="1"/>
  <c r="AN318" i="1"/>
  <c r="BB482" i="1"/>
  <c r="BB481" i="1"/>
  <c r="BB480" i="1"/>
  <c r="BB479" i="1"/>
  <c r="BB478" i="1"/>
  <c r="BB477" i="1"/>
  <c r="AP482" i="1"/>
  <c r="AW482" i="1" s="1"/>
  <c r="AO482" i="1"/>
  <c r="AP481" i="1"/>
  <c r="AW481" i="1" s="1"/>
  <c r="AO481" i="1"/>
  <c r="AP480" i="1"/>
  <c r="AW480" i="1" s="1"/>
  <c r="AO480" i="1"/>
  <c r="AP479" i="1"/>
  <c r="AW479" i="1" s="1"/>
  <c r="AO479" i="1"/>
  <c r="AP478" i="1"/>
  <c r="AW478" i="1" s="1"/>
  <c r="AO478" i="1"/>
  <c r="AP477" i="1"/>
  <c r="AW477" i="1" s="1"/>
  <c r="AO477" i="1"/>
  <c r="AR207" i="1"/>
  <c r="BA207" i="1" s="1"/>
  <c r="AQ207" i="1"/>
  <c r="AR206" i="1"/>
  <c r="AQ206" i="1"/>
  <c r="AQ268" i="1"/>
  <c r="AR268" i="1"/>
  <c r="BA268" i="1" s="1"/>
  <c r="AR267" i="1"/>
  <c r="BA267" i="1" s="1"/>
  <c r="AQ267" i="1"/>
  <c r="AQ472" i="1"/>
  <c r="AP474" i="1"/>
  <c r="AP473" i="1"/>
  <c r="AP472" i="1"/>
  <c r="AP470" i="1"/>
  <c r="AW470" i="1" s="1"/>
  <c r="AO470" i="1"/>
  <c r="AP469" i="1"/>
  <c r="AW469" i="1" s="1"/>
  <c r="AO469" i="1"/>
  <c r="AP468" i="1"/>
  <c r="AW468" i="1" s="1"/>
  <c r="AO468" i="1"/>
  <c r="AP467" i="1"/>
  <c r="AO467" i="1"/>
  <c r="AP466" i="1"/>
  <c r="AW466" i="1" s="1"/>
  <c r="AO466" i="1"/>
  <c r="AP465" i="1"/>
  <c r="AW465" i="1" s="1"/>
  <c r="AO465" i="1"/>
  <c r="AP463" i="1"/>
  <c r="AW463" i="1" s="1"/>
  <c r="AO463" i="1"/>
  <c r="AP462" i="1"/>
  <c r="AW462" i="1" s="1"/>
  <c r="AO462" i="1"/>
  <c r="AS462" i="1" s="1"/>
  <c r="AP461" i="1"/>
  <c r="AO461" i="1"/>
  <c r="AP460" i="1"/>
  <c r="AW460" i="1" s="1"/>
  <c r="AO460" i="1"/>
  <c r="AP459" i="1"/>
  <c r="AO459" i="1"/>
  <c r="AP458" i="1"/>
  <c r="AW458" i="1" s="1"/>
  <c r="AO458" i="1"/>
  <c r="AP457" i="1"/>
  <c r="AW457" i="1" s="1"/>
  <c r="AO457" i="1"/>
  <c r="AP456" i="1"/>
  <c r="AO456" i="1"/>
  <c r="AP455" i="1"/>
  <c r="AW455" i="1" s="1"/>
  <c r="AO455" i="1"/>
  <c r="AP454" i="1"/>
  <c r="AW454" i="1" s="1"/>
  <c r="AO454" i="1"/>
  <c r="AR454" i="1" s="1"/>
  <c r="AP453" i="1"/>
  <c r="AO453" i="1"/>
  <c r="AP452" i="1"/>
  <c r="AW452" i="1" s="1"/>
  <c r="AO452" i="1"/>
  <c r="AP451" i="1"/>
  <c r="AW451" i="1" s="1"/>
  <c r="AO451" i="1"/>
  <c r="BB463" i="1"/>
  <c r="BB462" i="1"/>
  <c r="BB461" i="1"/>
  <c r="BB460" i="1"/>
  <c r="BB459" i="1"/>
  <c r="BB458" i="1"/>
  <c r="BB457" i="1"/>
  <c r="BB456" i="1"/>
  <c r="BB455" i="1"/>
  <c r="BB454" i="1"/>
  <c r="BB453" i="1"/>
  <c r="BB452" i="1"/>
  <c r="BB451" i="1"/>
  <c r="AP448" i="1"/>
  <c r="AP447" i="1"/>
  <c r="AP446" i="1"/>
  <c r="AP445" i="1"/>
  <c r="AP444" i="1"/>
  <c r="AP443" i="1"/>
  <c r="AP442" i="1"/>
  <c r="AP441" i="1"/>
  <c r="AP440" i="1"/>
  <c r="AP439" i="1"/>
  <c r="AP438" i="1"/>
  <c r="AP437" i="1"/>
  <c r="AP436" i="1"/>
  <c r="AQ435" i="1"/>
  <c r="AP435" i="1"/>
  <c r="AP433" i="1"/>
  <c r="AW433" i="1" s="1"/>
  <c r="AO433" i="1"/>
  <c r="AP432" i="1"/>
  <c r="AW432" i="1" s="1"/>
  <c r="AO432" i="1"/>
  <c r="AP431" i="1"/>
  <c r="AO431" i="1"/>
  <c r="AP430" i="1"/>
  <c r="AW430" i="1" s="1"/>
  <c r="AO430" i="1"/>
  <c r="AP429" i="1"/>
  <c r="AW429" i="1" s="1"/>
  <c r="AO429" i="1"/>
  <c r="AP428" i="1"/>
  <c r="AO428" i="1"/>
  <c r="AP426" i="1"/>
  <c r="AW426" i="1" s="1"/>
  <c r="AO426" i="1"/>
  <c r="AR426" i="1" s="1"/>
  <c r="AP425" i="1"/>
  <c r="AW425" i="1" s="1"/>
  <c r="AO425" i="1"/>
  <c r="AP424" i="1"/>
  <c r="AW424" i="1" s="1"/>
  <c r="AO424" i="1"/>
  <c r="AP423" i="1"/>
  <c r="AW423" i="1" s="1"/>
  <c r="AO423" i="1"/>
  <c r="AP422" i="1"/>
  <c r="AW422" i="1" s="1"/>
  <c r="AO422" i="1"/>
  <c r="AP421" i="1"/>
  <c r="AW421" i="1" s="1"/>
  <c r="AO421" i="1"/>
  <c r="AP420" i="1"/>
  <c r="AW420" i="1" s="1"/>
  <c r="AO420" i="1"/>
  <c r="AP419" i="1"/>
  <c r="AW419" i="1" s="1"/>
  <c r="AO419" i="1"/>
  <c r="AP418" i="1"/>
  <c r="AW418" i="1" s="1"/>
  <c r="AO418" i="1"/>
  <c r="AP417" i="1"/>
  <c r="AW417" i="1" s="1"/>
  <c r="AO417" i="1"/>
  <c r="AP416" i="1"/>
  <c r="AW416" i="1" s="1"/>
  <c r="AO416" i="1"/>
  <c r="AP415" i="1"/>
  <c r="AW415" i="1" s="1"/>
  <c r="AO415" i="1"/>
  <c r="AP414" i="1"/>
  <c r="AW414" i="1" s="1"/>
  <c r="AO414" i="1"/>
  <c r="AP412" i="1"/>
  <c r="AP411" i="1"/>
  <c r="AP410" i="1"/>
  <c r="AP409" i="1"/>
  <c r="AQ408" i="1"/>
  <c r="AP408" i="1"/>
  <c r="AP406" i="1"/>
  <c r="AP405" i="1"/>
  <c r="AQ404" i="1"/>
  <c r="AP404" i="1"/>
  <c r="BB426" i="1"/>
  <c r="BB425" i="1"/>
  <c r="BB424" i="1"/>
  <c r="BB423" i="1"/>
  <c r="BB422" i="1"/>
  <c r="BB421" i="1"/>
  <c r="BB420" i="1"/>
  <c r="BB419" i="1"/>
  <c r="BB418" i="1"/>
  <c r="BB417" i="1"/>
  <c r="BB416" i="1"/>
  <c r="BB415" i="1"/>
  <c r="BB414" i="1"/>
  <c r="AO363" i="1"/>
  <c r="AP363" i="1"/>
  <c r="AW363" i="1" s="1"/>
  <c r="AO364" i="1"/>
  <c r="AP364" i="1"/>
  <c r="AO362" i="1"/>
  <c r="AP362" i="1"/>
  <c r="AP361" i="1"/>
  <c r="AW361" i="1" s="1"/>
  <c r="AO361" i="1"/>
  <c r="AP400" i="1"/>
  <c r="AP399" i="1"/>
  <c r="AP398" i="1"/>
  <c r="AP397" i="1"/>
  <c r="AP396" i="1"/>
  <c r="AP395" i="1"/>
  <c r="AP394" i="1"/>
  <c r="AP393" i="1"/>
  <c r="AP392" i="1"/>
  <c r="AP391" i="1"/>
  <c r="AP390" i="1"/>
  <c r="AP389" i="1"/>
  <c r="AP388" i="1"/>
  <c r="AP387" i="1"/>
  <c r="AP385" i="1"/>
  <c r="AW385" i="1" s="1"/>
  <c r="AO385" i="1"/>
  <c r="AP384" i="1"/>
  <c r="AW384" i="1" s="1"/>
  <c r="AO384" i="1"/>
  <c r="AP383" i="1"/>
  <c r="AW383" i="1" s="1"/>
  <c r="AO383" i="1"/>
  <c r="AP382" i="1"/>
  <c r="AW382" i="1" s="1"/>
  <c r="AO382" i="1"/>
  <c r="AP381" i="1"/>
  <c r="AW381" i="1" s="1"/>
  <c r="AO381" i="1"/>
  <c r="AP380" i="1"/>
  <c r="AW380" i="1" s="1"/>
  <c r="AO380" i="1"/>
  <c r="AP378" i="1"/>
  <c r="AW378" i="1" s="1"/>
  <c r="AO378" i="1"/>
  <c r="AP377" i="1"/>
  <c r="AW377" i="1" s="1"/>
  <c r="AO377" i="1"/>
  <c r="AP376" i="1"/>
  <c r="AW376" i="1" s="1"/>
  <c r="AO376" i="1"/>
  <c r="AR376" i="1" s="1"/>
  <c r="AP375" i="1"/>
  <c r="AW375" i="1" s="1"/>
  <c r="AO375" i="1"/>
  <c r="AP374" i="1"/>
  <c r="AW374" i="1" s="1"/>
  <c r="AO374" i="1"/>
  <c r="AP373" i="1"/>
  <c r="AW373" i="1" s="1"/>
  <c r="AO373" i="1"/>
  <c r="AP372" i="1"/>
  <c r="AW372" i="1" s="1"/>
  <c r="AO372" i="1"/>
  <c r="AP371" i="1"/>
  <c r="AW371" i="1" s="1"/>
  <c r="AO371" i="1"/>
  <c r="AP370" i="1"/>
  <c r="AW370" i="1" s="1"/>
  <c r="AO370" i="1"/>
  <c r="AR370" i="1" s="1"/>
  <c r="AP369" i="1"/>
  <c r="AW369" i="1" s="1"/>
  <c r="AO369" i="1"/>
  <c r="AP368" i="1"/>
  <c r="AW368" i="1" s="1"/>
  <c r="AO368" i="1"/>
  <c r="AP367" i="1"/>
  <c r="AW367" i="1" s="1"/>
  <c r="AO367" i="1"/>
  <c r="AP366" i="1"/>
  <c r="AW366" i="1" s="1"/>
  <c r="AO366" i="1"/>
  <c r="AP359" i="1"/>
  <c r="AP358" i="1"/>
  <c r="AQ357" i="1"/>
  <c r="AP357" i="1"/>
  <c r="BB378" i="1"/>
  <c r="BB377" i="1"/>
  <c r="BB376" i="1"/>
  <c r="BB375" i="1"/>
  <c r="BB374" i="1"/>
  <c r="BB373" i="1"/>
  <c r="BB372" i="1"/>
  <c r="BB371" i="1"/>
  <c r="BB370" i="1"/>
  <c r="BB369" i="1"/>
  <c r="BB368" i="1"/>
  <c r="BB367" i="1"/>
  <c r="BB366" i="1"/>
  <c r="AQ314" i="1"/>
  <c r="BB321" i="1"/>
  <c r="BB322" i="1"/>
  <c r="BB323" i="1"/>
  <c r="BB324" i="1"/>
  <c r="BB325" i="1"/>
  <c r="BB326" i="1"/>
  <c r="BB327" i="1"/>
  <c r="BB328" i="1"/>
  <c r="BB329" i="1"/>
  <c r="BB330" i="1"/>
  <c r="BB331" i="1"/>
  <c r="BB332" i="1"/>
  <c r="BB320" i="1"/>
  <c r="AO339" i="1"/>
  <c r="AO338" i="1"/>
  <c r="AO337" i="1"/>
  <c r="AO336" i="1"/>
  <c r="AO335" i="1"/>
  <c r="AO334" i="1"/>
  <c r="AO332" i="1"/>
  <c r="AO331" i="1"/>
  <c r="AO330" i="1"/>
  <c r="AO329" i="1"/>
  <c r="AO328" i="1"/>
  <c r="AO327" i="1"/>
  <c r="AO326" i="1"/>
  <c r="AO325" i="1"/>
  <c r="AO324" i="1"/>
  <c r="AO323" i="1"/>
  <c r="AO322" i="1"/>
  <c r="AO321" i="1"/>
  <c r="AO320" i="1"/>
  <c r="AO312" i="1"/>
  <c r="AO311" i="1"/>
  <c r="AQ341" i="1"/>
  <c r="AQ307" i="1"/>
  <c r="AP308" i="1"/>
  <c r="AP309" i="1"/>
  <c r="AP311" i="1"/>
  <c r="AW311" i="1" s="1"/>
  <c r="AP312" i="1"/>
  <c r="AW312" i="1" s="1"/>
  <c r="AP314" i="1"/>
  <c r="AP315" i="1"/>
  <c r="AP316" i="1"/>
  <c r="AP317" i="1"/>
  <c r="AP318" i="1"/>
  <c r="AP320" i="1"/>
  <c r="AW320" i="1" s="1"/>
  <c r="AP321" i="1"/>
  <c r="AW321" i="1" s="1"/>
  <c r="AP322" i="1"/>
  <c r="AP323" i="1"/>
  <c r="AW323" i="1" s="1"/>
  <c r="AP324" i="1"/>
  <c r="AW324" i="1" s="1"/>
  <c r="AP325" i="1"/>
  <c r="AW325" i="1" s="1"/>
  <c r="AP326" i="1"/>
  <c r="AW326" i="1" s="1"/>
  <c r="AP327" i="1"/>
  <c r="AW327" i="1" s="1"/>
  <c r="AP328" i="1"/>
  <c r="AW328" i="1" s="1"/>
  <c r="AP329" i="1"/>
  <c r="AW329" i="1" s="1"/>
  <c r="AP330" i="1"/>
  <c r="AW330" i="1" s="1"/>
  <c r="AP331" i="1"/>
  <c r="AP332" i="1"/>
  <c r="AW332" i="1" s="1"/>
  <c r="AP334" i="1"/>
  <c r="AW334" i="1" s="1"/>
  <c r="AP335" i="1"/>
  <c r="AW335" i="1" s="1"/>
  <c r="AP336" i="1"/>
  <c r="AW336" i="1"/>
  <c r="AP337" i="1"/>
  <c r="AW337" i="1" s="1"/>
  <c r="AP338" i="1"/>
  <c r="AW338" i="1" s="1"/>
  <c r="AP339" i="1"/>
  <c r="AW339" i="1" s="1"/>
  <c r="AP341" i="1"/>
  <c r="AP342" i="1"/>
  <c r="AP343" i="1"/>
  <c r="AP344" i="1"/>
  <c r="AP345" i="1"/>
  <c r="AP346" i="1"/>
  <c r="AP347" i="1"/>
  <c r="AP348" i="1"/>
  <c r="AP349" i="1"/>
  <c r="AP350" i="1"/>
  <c r="AP351" i="1"/>
  <c r="AP352" i="1"/>
  <c r="AP353" i="1"/>
  <c r="AP354" i="1"/>
  <c r="AP307" i="1"/>
  <c r="AA298" i="1"/>
  <c r="AA294" i="1"/>
  <c r="AS432" i="1"/>
  <c r="AR461" i="1"/>
  <c r="AM300" i="1"/>
  <c r="AM296" i="1"/>
  <c r="AM292" i="1"/>
  <c r="AQ300" i="1"/>
  <c r="AQ297" i="1"/>
  <c r="AQ296" i="1"/>
  <c r="AQ293" i="1"/>
  <c r="AQ292" i="1"/>
  <c r="AP286" i="1"/>
  <c r="AP287" i="1"/>
  <c r="AP288" i="1"/>
  <c r="AP289" i="1"/>
  <c r="AP285" i="1"/>
  <c r="AQ277" i="1"/>
  <c r="AR277" i="1"/>
  <c r="AQ278" i="1"/>
  <c r="AR278" i="1"/>
  <c r="AQ279" i="1"/>
  <c r="AR279" i="1"/>
  <c r="AQ280" i="1"/>
  <c r="AR280" i="1"/>
  <c r="AQ281" i="1"/>
  <c r="AR281" i="1"/>
  <c r="AQ282" i="1"/>
  <c r="AR282" i="1"/>
  <c r="AQ283" i="1"/>
  <c r="AR283" i="1"/>
  <c r="AQ284" i="1"/>
  <c r="AR284" i="1"/>
  <c r="AQ285" i="1"/>
  <c r="AR285" i="1"/>
  <c r="AQ286" i="1"/>
  <c r="AR286" i="1"/>
  <c r="AQ287" i="1"/>
  <c r="AR287" i="1"/>
  <c r="AQ288" i="1"/>
  <c r="AR288" i="1"/>
  <c r="AQ289" i="1"/>
  <c r="AR289" i="1"/>
  <c r="AR276" i="1"/>
  <c r="AQ276" i="1"/>
  <c r="AM276" i="1"/>
  <c r="AW268" i="1"/>
  <c r="AW267" i="1"/>
  <c r="R164" i="1"/>
  <c r="AG262" i="1"/>
  <c r="AG249" i="1"/>
  <c r="AV267" i="1" s="1"/>
  <c r="AW244" i="1"/>
  <c r="AY238" i="1"/>
  <c r="AY237" i="1"/>
  <c r="AY236" i="1"/>
  <c r="AY235" i="1"/>
  <c r="AY234" i="1"/>
  <c r="AY233" i="1"/>
  <c r="AY232" i="1"/>
  <c r="AY231" i="1"/>
  <c r="AY230" i="1"/>
  <c r="AY229" i="1"/>
  <c r="AY216" i="1"/>
  <c r="AY217" i="1"/>
  <c r="AY218" i="1"/>
  <c r="AY219" i="1"/>
  <c r="AY220" i="1"/>
  <c r="AY221" i="1"/>
  <c r="AY222" i="1"/>
  <c r="AY223" i="1"/>
  <c r="AY224" i="1"/>
  <c r="AY215" i="1"/>
  <c r="AM218" i="1"/>
  <c r="AQ218" i="1"/>
  <c r="AS218" i="1"/>
  <c r="AR218" i="1"/>
  <c r="AS215" i="1"/>
  <c r="AR215" i="1"/>
  <c r="AM207" i="1"/>
  <c r="AM206" i="1"/>
  <c r="AR178" i="1"/>
  <c r="AR177" i="1"/>
  <c r="AR176" i="1"/>
  <c r="AM178" i="1"/>
  <c r="AS178" i="1" s="1"/>
  <c r="AM177" i="1"/>
  <c r="AS177" i="1" s="1"/>
  <c r="AM176" i="1"/>
  <c r="AS176" i="1" s="1"/>
  <c r="AT30" i="1"/>
  <c r="AT28" i="1"/>
  <c r="AR172" i="1"/>
  <c r="AQ172" i="1"/>
  <c r="AR171" i="1"/>
  <c r="AQ171" i="1"/>
  <c r="AR170" i="1"/>
  <c r="AQ170" i="1"/>
  <c r="AP170" i="1"/>
  <c r="AO170" i="1"/>
  <c r="AN170" i="1"/>
  <c r="AR169" i="1"/>
  <c r="AQ169" i="1"/>
  <c r="AP169" i="1"/>
  <c r="AO169" i="1"/>
  <c r="AN169" i="1"/>
  <c r="AR168" i="1"/>
  <c r="AQ168" i="1"/>
  <c r="AP168" i="1"/>
  <c r="AO168" i="1"/>
  <c r="AN168" i="1"/>
  <c r="AP167" i="1"/>
  <c r="AO167" i="1"/>
  <c r="AN167" i="1"/>
  <c r="AR166" i="1"/>
  <c r="AQ166" i="1"/>
  <c r="AP166" i="1"/>
  <c r="AO166" i="1"/>
  <c r="AN166" i="1"/>
  <c r="AR165" i="1"/>
  <c r="AQ165" i="1"/>
  <c r="AP165" i="1"/>
  <c r="AO165" i="1"/>
  <c r="AN165" i="1"/>
  <c r="AP163" i="1"/>
  <c r="AO163" i="1"/>
  <c r="AN163" i="1"/>
  <c r="AR162" i="1"/>
  <c r="AQ162" i="1"/>
  <c r="AP162" i="1"/>
  <c r="AO162" i="1"/>
  <c r="AN162" i="1"/>
  <c r="AR161" i="1"/>
  <c r="AQ161" i="1"/>
  <c r="AP161" i="1"/>
  <c r="AO161" i="1"/>
  <c r="AN161" i="1"/>
  <c r="AR160" i="1"/>
  <c r="AQ160" i="1"/>
  <c r="AP160" i="1"/>
  <c r="AO160" i="1"/>
  <c r="AN160" i="1"/>
  <c r="AR158" i="1"/>
  <c r="AQ158" i="1"/>
  <c r="AP158" i="1"/>
  <c r="AO158" i="1"/>
  <c r="AN158" i="1"/>
  <c r="AT129" i="1"/>
  <c r="AU129" i="1"/>
  <c r="AV129" i="1"/>
  <c r="AW129" i="1"/>
  <c r="AT130" i="1"/>
  <c r="AU130" i="1"/>
  <c r="AV130" i="1"/>
  <c r="AW130" i="1"/>
  <c r="AT131" i="1"/>
  <c r="AU131" i="1"/>
  <c r="AV131" i="1"/>
  <c r="AW131" i="1"/>
  <c r="AT132" i="1"/>
  <c r="AU132" i="1"/>
  <c r="AV132" i="1"/>
  <c r="AW132" i="1"/>
  <c r="AT133" i="1"/>
  <c r="AU133" i="1"/>
  <c r="AV133" i="1"/>
  <c r="AW133" i="1"/>
  <c r="AT134" i="1"/>
  <c r="AU134" i="1"/>
  <c r="AV134" i="1"/>
  <c r="AW134" i="1"/>
  <c r="AT135" i="1"/>
  <c r="AU135" i="1"/>
  <c r="AV135" i="1"/>
  <c r="AW135" i="1"/>
  <c r="AW128" i="1"/>
  <c r="AV128" i="1"/>
  <c r="AU128" i="1"/>
  <c r="AT128" i="1"/>
  <c r="BB129" i="1"/>
  <c r="BB130" i="1"/>
  <c r="BB131" i="1"/>
  <c r="BB132" i="1"/>
  <c r="BB133" i="1"/>
  <c r="BB134" i="1"/>
  <c r="BB135" i="1"/>
  <c r="BB128" i="1"/>
  <c r="AR119" i="1"/>
  <c r="AR112" i="1"/>
  <c r="AR104" i="1"/>
  <c r="AQ33" i="1"/>
  <c r="AM172" i="1" s="1"/>
  <c r="AQ32" i="1"/>
  <c r="AM171" i="1" s="1"/>
  <c r="AQ31" i="1"/>
  <c r="AM170" i="1" s="1"/>
  <c r="AQ30" i="1"/>
  <c r="AM169" i="1" s="1"/>
  <c r="AQ29" i="1"/>
  <c r="AM168" i="1" s="1"/>
  <c r="AQ28" i="1"/>
  <c r="AQ27" i="1"/>
  <c r="AM357" i="1" s="1"/>
  <c r="AQ26" i="1"/>
  <c r="AM307" i="1" s="1"/>
  <c r="AQ24" i="1"/>
  <c r="AQ23" i="1"/>
  <c r="BB304" i="1" s="1"/>
  <c r="AR39" i="1"/>
  <c r="AR38" i="1"/>
  <c r="AR37" i="1"/>
  <c r="AR36" i="1"/>
  <c r="AR35" i="1"/>
  <c r="AR34" i="1"/>
  <c r="AR33" i="1"/>
  <c r="AR29" i="1"/>
  <c r="AR30" i="1"/>
  <c r="AR31" i="1"/>
  <c r="AR28" i="1"/>
  <c r="AR26" i="1"/>
  <c r="AR23" i="1"/>
  <c r="AR16" i="1"/>
  <c r="AR17" i="1"/>
  <c r="AR18" i="1"/>
  <c r="AR19" i="1"/>
  <c r="AR20" i="1"/>
  <c r="AR21" i="1"/>
  <c r="AR15" i="1"/>
  <c r="AR14" i="1"/>
  <c r="BC143" i="1"/>
  <c r="BC139" i="1"/>
  <c r="BD129" i="1"/>
  <c r="BE129" i="1"/>
  <c r="BF129" i="1"/>
  <c r="BG129" i="1"/>
  <c r="BD130" i="1"/>
  <c r="BE130" i="1"/>
  <c r="BF130" i="1"/>
  <c r="BG130" i="1"/>
  <c r="BD131" i="1"/>
  <c r="BE131" i="1"/>
  <c r="BF131" i="1"/>
  <c r="BG131" i="1"/>
  <c r="BD132" i="1"/>
  <c r="BE132" i="1"/>
  <c r="BF132" i="1"/>
  <c r="BG132" i="1"/>
  <c r="BD133" i="1"/>
  <c r="BE133" i="1"/>
  <c r="BF133" i="1"/>
  <c r="BG133" i="1"/>
  <c r="BD134" i="1"/>
  <c r="BE134" i="1"/>
  <c r="BF134" i="1"/>
  <c r="BG134" i="1"/>
  <c r="BD135" i="1"/>
  <c r="BE135" i="1"/>
  <c r="BF135" i="1"/>
  <c r="BG135" i="1"/>
  <c r="BC119" i="1"/>
  <c r="BC112" i="1"/>
  <c r="BC104" i="1"/>
  <c r="AA170" i="1"/>
  <c r="AG195" i="1" s="1"/>
  <c r="AA169" i="1"/>
  <c r="AY169" i="1" s="1"/>
  <c r="AA168" i="1"/>
  <c r="AG186" i="1" s="1"/>
  <c r="AA158" i="1"/>
  <c r="AA290" i="1"/>
  <c r="AD159" i="1"/>
  <c r="AJ172" i="1"/>
  <c r="AJ171" i="1"/>
  <c r="AJ170" i="1"/>
  <c r="AJ169" i="1"/>
  <c r="AJ168" i="1"/>
  <c r="AA167" i="1"/>
  <c r="AY167" i="1" s="1"/>
  <c r="AJ166" i="1"/>
  <c r="AA166" i="1"/>
  <c r="AY166" i="1" s="1"/>
  <c r="AJ165" i="1"/>
  <c r="AA165" i="1"/>
  <c r="AY165" i="1" s="1"/>
  <c r="X164" i="1"/>
  <c r="U164" i="1"/>
  <c r="AA163" i="1"/>
  <c r="AY163" i="1" s="1"/>
  <c r="AJ162" i="1"/>
  <c r="AA162" i="1"/>
  <c r="AY162" i="1" s="1"/>
  <c r="AJ161" i="1"/>
  <c r="AA161" i="1"/>
  <c r="AY161" i="1" s="1"/>
  <c r="AJ160" i="1"/>
  <c r="AA160" i="1"/>
  <c r="AY160" i="1" s="1"/>
  <c r="AJ158" i="1"/>
  <c r="AG151" i="1"/>
  <c r="AT148" i="1" s="1"/>
  <c r="AN500" i="1" l="1"/>
  <c r="AT500" i="1" s="1"/>
  <c r="B306" i="1"/>
  <c r="AS423" i="1"/>
  <c r="AS381" i="1"/>
  <c r="AU268" i="1"/>
  <c r="AW287" i="1"/>
  <c r="AX283" i="1"/>
  <c r="AW279" i="1"/>
  <c r="AR465" i="1"/>
  <c r="AR457" i="1"/>
  <c r="AS428" i="1"/>
  <c r="AR417" i="1"/>
  <c r="AR421" i="1"/>
  <c r="AS425" i="1"/>
  <c r="AR462" i="1"/>
  <c r="AR428" i="1"/>
  <c r="AS459" i="1"/>
  <c r="AS463" i="1"/>
  <c r="AR503" i="1"/>
  <c r="AS376" i="1"/>
  <c r="AS324" i="1"/>
  <c r="AR453" i="1"/>
  <c r="AR458" i="1"/>
  <c r="AX289" i="1"/>
  <c r="AW285" i="1"/>
  <c r="AX281" i="1"/>
  <c r="AR378" i="1"/>
  <c r="AR433" i="1"/>
  <c r="AV550" i="1"/>
  <c r="AX284" i="1"/>
  <c r="AR377" i="1"/>
  <c r="AR384" i="1"/>
  <c r="AS461" i="1"/>
  <c r="AX276" i="1"/>
  <c r="AX286" i="1"/>
  <c r="AX282" i="1"/>
  <c r="AX278" i="1"/>
  <c r="AS369" i="1"/>
  <c r="AS415" i="1"/>
  <c r="AS509" i="1"/>
  <c r="AR548" i="1"/>
  <c r="AX279" i="1"/>
  <c r="AS548" i="1"/>
  <c r="AX548" i="1"/>
  <c r="AS468" i="1"/>
  <c r="AS424" i="1"/>
  <c r="AT268" i="1"/>
  <c r="AU206" i="1"/>
  <c r="AS505" i="1"/>
  <c r="BA522" i="1"/>
  <c r="BA517" i="1"/>
  <c r="AW537" i="1"/>
  <c r="AW280" i="1"/>
  <c r="AS420" i="1"/>
  <c r="BA159" i="1"/>
  <c r="AS431" i="1"/>
  <c r="AR536" i="1"/>
  <c r="AR339" i="1"/>
  <c r="AR416" i="1"/>
  <c r="AR432" i="1"/>
  <c r="AT548" i="1"/>
  <c r="AU489" i="1"/>
  <c r="AY479" i="1" s="1"/>
  <c r="AR468" i="1"/>
  <c r="AR323" i="1"/>
  <c r="AR420" i="1"/>
  <c r="AR429" i="1"/>
  <c r="AR482" i="1"/>
  <c r="AV515" i="1"/>
  <c r="AU548" i="1"/>
  <c r="BA164" i="1"/>
  <c r="AR431" i="1"/>
  <c r="AW461" i="1"/>
  <c r="AS465" i="1"/>
  <c r="BB307" i="1"/>
  <c r="AR419" i="1"/>
  <c r="AS457" i="1"/>
  <c r="AU207" i="1"/>
  <c r="AT489" i="1"/>
  <c r="AZ477" i="1" s="1"/>
  <c r="AR506" i="1"/>
  <c r="AY537" i="1"/>
  <c r="AX549" i="1"/>
  <c r="AV288" i="1"/>
  <c r="AS373" i="1"/>
  <c r="AW428" i="1"/>
  <c r="AS367" i="1"/>
  <c r="AS378" i="1"/>
  <c r="AW431" i="1"/>
  <c r="AR466" i="1"/>
  <c r="AR496" i="1"/>
  <c r="AU160" i="1"/>
  <c r="AU218" i="1"/>
  <c r="AT280" i="1"/>
  <c r="AW283" i="1"/>
  <c r="AR423" i="1"/>
  <c r="AS326" i="1"/>
  <c r="AS372" i="1"/>
  <c r="AR508" i="1"/>
  <c r="AS501" i="1"/>
  <c r="AZ517" i="1"/>
  <c r="AV522" i="1"/>
  <c r="AZ300" i="1"/>
  <c r="AS466" i="1"/>
  <c r="AS458" i="1"/>
  <c r="AS336" i="1"/>
  <c r="AR451" i="1"/>
  <c r="AS467" i="1"/>
  <c r="AM404" i="1"/>
  <c r="AX404" i="1" s="1"/>
  <c r="AM513" i="1"/>
  <c r="AS370" i="1"/>
  <c r="AS385" i="1"/>
  <c r="AR328" i="1"/>
  <c r="AS504" i="1"/>
  <c r="AW277" i="1"/>
  <c r="AR385" i="1"/>
  <c r="AR373" i="1"/>
  <c r="AR321" i="1"/>
  <c r="AS329" i="1"/>
  <c r="AS338" i="1"/>
  <c r="AS418" i="1"/>
  <c r="AS430" i="1"/>
  <c r="AS433" i="1"/>
  <c r="AS452" i="1"/>
  <c r="AS460" i="1"/>
  <c r="AS495" i="1"/>
  <c r="AS507" i="1"/>
  <c r="AS323" i="1"/>
  <c r="AR363" i="1"/>
  <c r="AS377" i="1"/>
  <c r="AS503" i="1"/>
  <c r="AS478" i="1"/>
  <c r="AR477" i="1"/>
  <c r="AR380" i="1"/>
  <c r="AS363" i="1"/>
  <c r="AR364" i="1"/>
  <c r="AX357" i="1"/>
  <c r="AR366" i="1"/>
  <c r="AS366" i="1"/>
  <c r="AS332" i="1"/>
  <c r="AS322" i="1"/>
  <c r="AS506" i="1"/>
  <c r="AR478" i="1"/>
  <c r="AS494" i="1"/>
  <c r="AS508" i="1"/>
  <c r="AR501" i="1"/>
  <c r="AR509" i="1"/>
  <c r="AR495" i="1"/>
  <c r="AS339" i="1"/>
  <c r="AR331" i="1"/>
  <c r="AV169" i="1"/>
  <c r="AU169" i="1"/>
  <c r="AS499" i="1"/>
  <c r="AR499" i="1"/>
  <c r="AR481" i="1"/>
  <c r="AR480" i="1"/>
  <c r="AR336" i="1"/>
  <c r="AR324" i="1"/>
  <c r="AS320" i="1"/>
  <c r="AW501" i="1"/>
  <c r="AW281" i="1"/>
  <c r="AS330" i="1"/>
  <c r="AS416" i="1"/>
  <c r="AS426" i="1"/>
  <c r="AR455" i="1"/>
  <c r="AR330" i="1"/>
  <c r="AR452" i="1"/>
  <c r="AS455" i="1"/>
  <c r="AR456" i="1"/>
  <c r="AT207" i="1"/>
  <c r="AV548" i="1"/>
  <c r="AV547" i="1"/>
  <c r="AX525" i="1"/>
  <c r="AV536" i="1"/>
  <c r="AV514" i="1"/>
  <c r="AW169" i="1"/>
  <c r="AV289" i="1"/>
  <c r="AW289" i="1"/>
  <c r="AR329" i="1"/>
  <c r="AS321" i="1"/>
  <c r="AW364" i="1"/>
  <c r="AS380" i="1"/>
  <c r="AR430" i="1"/>
  <c r="AR338" i="1"/>
  <c r="AY549" i="1"/>
  <c r="AW548" i="1"/>
  <c r="AW547" i="1"/>
  <c r="AT547" i="1"/>
  <c r="AX285" i="1"/>
  <c r="AV285" i="1"/>
  <c r="AS364" i="1"/>
  <c r="AR460" i="1"/>
  <c r="AR500" i="1"/>
  <c r="AT537" i="1"/>
  <c r="AW166" i="1"/>
  <c r="BB515" i="1"/>
  <c r="AW515" i="1"/>
  <c r="AS170" i="1"/>
  <c r="AX160" i="1"/>
  <c r="AZ296" i="1"/>
  <c r="AT206" i="1"/>
  <c r="AS419" i="1"/>
  <c r="AU166" i="1"/>
  <c r="AV286" i="1"/>
  <c r="AR311" i="1"/>
  <c r="AZ519" i="1"/>
  <c r="AY548" i="1"/>
  <c r="AS384" i="1"/>
  <c r="AR368" i="1"/>
  <c r="AS375" i="1"/>
  <c r="AS362" i="1"/>
  <c r="AR479" i="1"/>
  <c r="AR497" i="1"/>
  <c r="AV166" i="1"/>
  <c r="AW286" i="1"/>
  <c r="AW278" i="1"/>
  <c r="AS328" i="1"/>
  <c r="AS382" i="1"/>
  <c r="AR418" i="1"/>
  <c r="AS480" i="1"/>
  <c r="AW522" i="1"/>
  <c r="AW536" i="1"/>
  <c r="AZ267" i="1"/>
  <c r="AS470" i="1"/>
  <c r="AR470" i="1"/>
  <c r="AS429" i="1"/>
  <c r="AS477" i="1"/>
  <c r="BB522" i="1"/>
  <c r="AS497" i="1"/>
  <c r="AW519" i="1"/>
  <c r="AZ516" i="1"/>
  <c r="AZ514" i="1"/>
  <c r="AT550" i="1"/>
  <c r="AV549" i="1"/>
  <c r="AT551" i="1"/>
  <c r="AZ164" i="1"/>
  <c r="AV162" i="1"/>
  <c r="AX169" i="1"/>
  <c r="AX277" i="1"/>
  <c r="AR320" i="1"/>
  <c r="AS312" i="1"/>
  <c r="AS368" i="1"/>
  <c r="AS421" i="1"/>
  <c r="AW467" i="1"/>
  <c r="AR463" i="1"/>
  <c r="AR467" i="1"/>
  <c r="AR425" i="1"/>
  <c r="AS469" i="1"/>
  <c r="AR504" i="1"/>
  <c r="AS498" i="1"/>
  <c r="AY514" i="1"/>
  <c r="AX514" i="1"/>
  <c r="AY517" i="1"/>
  <c r="AY516" i="1"/>
  <c r="AY515" i="1"/>
  <c r="AW549" i="1"/>
  <c r="AY170" i="1"/>
  <c r="AX162" i="1"/>
  <c r="AU170" i="1"/>
  <c r="AV218" i="1"/>
  <c r="AX288" i="1"/>
  <c r="AR312" i="1"/>
  <c r="AR382" i="1"/>
  <c r="AS371" i="1"/>
  <c r="AX515" i="1"/>
  <c r="AU519" i="1"/>
  <c r="BB528" i="1"/>
  <c r="AY531" i="1"/>
  <c r="AX166" i="1"/>
  <c r="AU162" i="1"/>
  <c r="AV170" i="1"/>
  <c r="AW282" i="1"/>
  <c r="AR325" i="1"/>
  <c r="AS334" i="1"/>
  <c r="AV517" i="1"/>
  <c r="BA531" i="1"/>
  <c r="AS536" i="1"/>
  <c r="BA528" i="1"/>
  <c r="AZ528" i="1"/>
  <c r="AW551" i="1"/>
  <c r="AW284" i="1"/>
  <c r="AX280" i="1"/>
  <c r="AR424" i="1"/>
  <c r="AR326" i="1"/>
  <c r="AR335" i="1"/>
  <c r="AW456" i="1"/>
  <c r="AW459" i="1"/>
  <c r="AV516" i="1"/>
  <c r="AU537" i="1"/>
  <c r="AU528" i="1"/>
  <c r="AV287" i="1"/>
  <c r="AW322" i="1"/>
  <c r="AR371" i="1"/>
  <c r="AS417" i="1"/>
  <c r="AT267" i="1"/>
  <c r="AW500" i="1"/>
  <c r="AR507" i="1"/>
  <c r="AU516" i="1"/>
  <c r="AU547" i="1"/>
  <c r="AU549" i="1"/>
  <c r="AV528" i="1"/>
  <c r="AT171" i="1"/>
  <c r="BB171" i="1"/>
  <c r="AR381" i="1"/>
  <c r="AS422" i="1"/>
  <c r="AU531" i="1"/>
  <c r="AW517" i="1"/>
  <c r="AR549" i="1"/>
  <c r="AG194" i="1"/>
  <c r="AX170" i="1"/>
  <c r="AV165" i="1"/>
  <c r="AV168" i="1"/>
  <c r="AZ268" i="1"/>
  <c r="AW276" i="1"/>
  <c r="AX287" i="1"/>
  <c r="AS311" i="1"/>
  <c r="AR375" i="1"/>
  <c r="AR372" i="1"/>
  <c r="AR422" i="1"/>
  <c r="AR459" i="1"/>
  <c r="AS451" i="1"/>
  <c r="AS453" i="1"/>
  <c r="AU267" i="1"/>
  <c r="AS479" i="1"/>
  <c r="AR502" i="1"/>
  <c r="AU525" i="1"/>
  <c r="AX519" i="1"/>
  <c r="BA525" i="1"/>
  <c r="AX522" i="1"/>
  <c r="BA515" i="1"/>
  <c r="AW514" i="1"/>
  <c r="BB514" i="1"/>
  <c r="AZ515" i="1"/>
  <c r="AW497" i="1"/>
  <c r="AR550" i="1"/>
  <c r="AY536" i="1"/>
  <c r="AX547" i="1"/>
  <c r="AW546" i="1"/>
  <c r="AR361" i="1"/>
  <c r="AR327" i="1"/>
  <c r="AO552" i="1"/>
  <c r="BA514" i="1"/>
  <c r="AU148" i="1"/>
  <c r="BB170" i="1"/>
  <c r="AW170" i="1"/>
  <c r="AT218" i="1"/>
  <c r="AS331" i="1"/>
  <c r="AR367" i="1"/>
  <c r="AR415" i="1"/>
  <c r="AR374" i="1"/>
  <c r="AS482" i="1"/>
  <c r="AS500" i="1"/>
  <c r="AU522" i="1"/>
  <c r="AW525" i="1"/>
  <c r="AY519" i="1"/>
  <c r="AV531" i="1"/>
  <c r="AU517" i="1"/>
  <c r="AX517" i="1"/>
  <c r="AW516" i="1"/>
  <c r="BB516" i="1"/>
  <c r="AS547" i="1"/>
  <c r="AS550" i="1"/>
  <c r="AU536" i="1"/>
  <c r="BB519" i="1"/>
  <c r="AZ531" i="1"/>
  <c r="AV160" i="1"/>
  <c r="AW165" i="1"/>
  <c r="AW288" i="1"/>
  <c r="AW331" i="1"/>
  <c r="AS361" i="1"/>
  <c r="AR414" i="1"/>
  <c r="AR362" i="1"/>
  <c r="AS456" i="1"/>
  <c r="AS481" i="1"/>
  <c r="AS496" i="1"/>
  <c r="AY525" i="1"/>
  <c r="AW528" i="1"/>
  <c r="AV519" i="1"/>
  <c r="AU514" i="1"/>
  <c r="BB525" i="1"/>
  <c r="BA519" i="1"/>
  <c r="AW531" i="1"/>
  <c r="AS537" i="1"/>
  <c r="AY547" i="1"/>
  <c r="AX546" i="1"/>
  <c r="BB517" i="1"/>
  <c r="AT170" i="1"/>
  <c r="AX161" i="1"/>
  <c r="AR322" i="1"/>
  <c r="AR337" i="1"/>
  <c r="AS325" i="1"/>
  <c r="AW362" i="1"/>
  <c r="AS383" i="1"/>
  <c r="AR334" i="1"/>
  <c r="AR505" i="1"/>
  <c r="AR498" i="1"/>
  <c r="AR494" i="1"/>
  <c r="BB531" i="1"/>
  <c r="AY528" i="1"/>
  <c r="AY522" i="1"/>
  <c r="AV525" i="1"/>
  <c r="AU515" i="1"/>
  <c r="AX528" i="1"/>
  <c r="AX516" i="1"/>
  <c r="AT536" i="1"/>
  <c r="AX536" i="1"/>
  <c r="AR332" i="1"/>
  <c r="AS337" i="1"/>
  <c r="AR547" i="1"/>
  <c r="AJ159" i="1"/>
  <c r="AJ164" i="1"/>
  <c r="AZ292" i="1"/>
  <c r="AS327" i="1"/>
  <c r="AS335" i="1"/>
  <c r="AR383" i="1"/>
  <c r="AW453" i="1"/>
  <c r="AS454" i="1"/>
  <c r="AR469" i="1"/>
  <c r="BA206" i="1"/>
  <c r="AZ522" i="1"/>
  <c r="AX531" i="1"/>
  <c r="AZ525" i="1"/>
  <c r="AV537" i="1"/>
  <c r="AV551" i="1"/>
  <c r="AR553" i="1"/>
  <c r="AW160" i="1"/>
  <c r="AS374" i="1"/>
  <c r="AR369" i="1"/>
  <c r="AS414" i="1"/>
  <c r="BA516" i="1"/>
  <c r="AS169" i="1"/>
  <c r="AT169" i="1"/>
  <c r="BB169" i="1"/>
  <c r="AR552" i="1"/>
  <c r="AS31" i="1"/>
  <c r="AX128" i="1"/>
  <c r="AX158" i="1"/>
  <c r="AV161" i="1"/>
  <c r="AW162" i="1"/>
  <c r="AU167" i="1"/>
  <c r="AU165" i="1"/>
  <c r="AG193" i="1"/>
  <c r="AX168" i="1"/>
  <c r="AW168" i="1"/>
  <c r="AY188" i="1"/>
  <c r="AU168" i="1"/>
  <c r="AY168" i="1"/>
  <c r="AG180" i="1"/>
  <c r="AX165" i="1"/>
  <c r="AA164" i="1"/>
  <c r="AG185" i="1" s="1"/>
  <c r="AV167" i="1"/>
  <c r="AV163" i="1"/>
  <c r="AZ159" i="1"/>
  <c r="AW161" i="1"/>
  <c r="AA159" i="1"/>
  <c r="AU161" i="1"/>
  <c r="AU163" i="1"/>
  <c r="AT178" i="1"/>
  <c r="AT176" i="1"/>
  <c r="AM164" i="1"/>
  <c r="BB165" i="1" s="1"/>
  <c r="AN404" i="1"/>
  <c r="AV158" i="1"/>
  <c r="AZ188" i="1"/>
  <c r="AY158" i="1"/>
  <c r="AG184" i="1"/>
  <c r="AG177" i="1"/>
  <c r="AW158" i="1"/>
  <c r="AU158" i="1"/>
  <c r="AG190" i="1"/>
  <c r="AT283" i="1"/>
  <c r="AT300" i="1"/>
  <c r="AZ134" i="1"/>
  <c r="AX132" i="1"/>
  <c r="BA130" i="1"/>
  <c r="AT177" i="1"/>
  <c r="AS29" i="1"/>
  <c r="AM451" i="1"/>
  <c r="AT172" i="1"/>
  <c r="BB172" i="1"/>
  <c r="AZ189" i="1"/>
  <c r="AX130" i="1"/>
  <c r="BA135" i="1"/>
  <c r="BA133" i="1"/>
  <c r="BA129" i="1"/>
  <c r="AZ206" i="1"/>
  <c r="AZ276" i="1"/>
  <c r="BA128" i="1"/>
  <c r="AX134" i="1"/>
  <c r="AZ130" i="1"/>
  <c r="AT297" i="1"/>
  <c r="BA134" i="1"/>
  <c r="BA132" i="1"/>
  <c r="AY135" i="1"/>
  <c r="AZ128" i="1"/>
  <c r="AY134" i="1"/>
  <c r="AZ132" i="1"/>
  <c r="AY130" i="1"/>
  <c r="AX135" i="1"/>
  <c r="AZ133" i="1"/>
  <c r="AZ131" i="1"/>
  <c r="AZ129" i="1"/>
  <c r="AY133" i="1"/>
  <c r="AY131" i="1"/>
  <c r="AY129" i="1"/>
  <c r="AZ186" i="1"/>
  <c r="BA276" i="1"/>
  <c r="AT278" i="1"/>
  <c r="AT292" i="1"/>
  <c r="AT288" i="1"/>
  <c r="AT293" i="1"/>
  <c r="AT282" i="1"/>
  <c r="AT279" i="1"/>
  <c r="AT285" i="1"/>
  <c r="AT286" i="1"/>
  <c r="AT296" i="1"/>
  <c r="AT277" i="1"/>
  <c r="AT281" i="1"/>
  <c r="AT284" i="1"/>
  <c r="AT287" i="1"/>
  <c r="AT289" i="1"/>
  <c r="AT276" i="1"/>
  <c r="AX129" i="1"/>
  <c r="AX131" i="1"/>
  <c r="AX133" i="1"/>
  <c r="AZ135" i="1"/>
  <c r="AY128" i="1"/>
  <c r="AY132" i="1"/>
  <c r="BA131" i="1"/>
  <c r="BB168" i="1"/>
  <c r="AY185" i="1"/>
  <c r="AT168" i="1"/>
  <c r="AS168" i="1"/>
  <c r="AM244" i="1"/>
  <c r="AM267" i="1" s="1"/>
  <c r="AS28" i="1"/>
  <c r="AS30" i="1"/>
  <c r="AM159" i="1"/>
  <c r="AY179" i="1" s="1"/>
  <c r="AU378" i="1"/>
  <c r="AN307" i="1"/>
  <c r="AX307" i="1"/>
  <c r="AU332" i="1"/>
  <c r="AM158" i="1"/>
  <c r="AZ175" i="1" s="1"/>
  <c r="AY186" i="1"/>
  <c r="AZ185" i="1"/>
  <c r="AY187" i="1"/>
  <c r="AZ187" i="1"/>
  <c r="AY189" i="1"/>
  <c r="BB448" i="1"/>
  <c r="AU449" i="1" s="1"/>
  <c r="BB354" i="1"/>
  <c r="AS23" i="1"/>
  <c r="AV23" i="1"/>
  <c r="BB402" i="1" s="1"/>
  <c r="BB486" i="1"/>
  <c r="BB239" i="1"/>
  <c r="S511" i="1"/>
  <c r="BB401" i="1"/>
  <c r="S202" i="1"/>
  <c r="BB558" i="1"/>
  <c r="S271" i="1"/>
  <c r="BB474" i="1"/>
  <c r="BB269" i="1"/>
  <c r="AU426" i="1" l="1"/>
  <c r="AO559" i="1"/>
  <c r="AY184" i="1"/>
  <c r="AZ183" i="1"/>
  <c r="AS164" i="1"/>
  <c r="AG192" i="1"/>
  <c r="A512" i="1"/>
  <c r="AY183" i="1"/>
  <c r="AY177" i="1"/>
  <c r="AZ179" i="1"/>
  <c r="AN501" i="1"/>
  <c r="AT501" i="1" s="1"/>
  <c r="AG191" i="1"/>
  <c r="AN357" i="1"/>
  <c r="AG178" i="1"/>
  <c r="AN502" i="1"/>
  <c r="AT502" i="1" s="1"/>
  <c r="AG179" i="1"/>
  <c r="AG182" i="1" s="1"/>
  <c r="AG188" i="1"/>
  <c r="BB167" i="1"/>
  <c r="AY182" i="1"/>
  <c r="AT164" i="1"/>
  <c r="AZ182" i="1"/>
  <c r="BB166" i="1"/>
  <c r="AT432" i="1"/>
  <c r="AT421" i="1"/>
  <c r="AT433" i="1"/>
  <c r="AT418" i="1"/>
  <c r="AT428" i="1"/>
  <c r="AT417" i="1"/>
  <c r="AT422" i="1"/>
  <c r="AT425" i="1"/>
  <c r="AT419" i="1"/>
  <c r="AT424" i="1"/>
  <c r="AT414" i="1"/>
  <c r="AT415" i="1"/>
  <c r="AT420" i="1"/>
  <c r="AT416" i="1"/>
  <c r="AT423" i="1"/>
  <c r="AT429" i="1"/>
  <c r="AT426" i="1"/>
  <c r="AN414" i="1"/>
  <c r="AT431" i="1"/>
  <c r="AT430" i="1"/>
  <c r="A41" i="1"/>
  <c r="AN451" i="1"/>
  <c r="AU463" i="1"/>
  <c r="AX451" i="1"/>
  <c r="BD128" i="1"/>
  <c r="BE128" i="1" s="1"/>
  <c r="BF128" i="1" s="1"/>
  <c r="BG128" i="1" s="1"/>
  <c r="AO539" i="1"/>
  <c r="AO543" i="1" s="1"/>
  <c r="AO537" i="1"/>
  <c r="AN538" i="1"/>
  <c r="AO538" i="1"/>
  <c r="AO542" i="1" s="1"/>
  <c r="AN537" i="1"/>
  <c r="AN540" i="1"/>
  <c r="AN539" i="1"/>
  <c r="AM268" i="1"/>
  <c r="BB162" i="1"/>
  <c r="BB163" i="1"/>
  <c r="AY180" i="1"/>
  <c r="BB161" i="1"/>
  <c r="AY178" i="1"/>
  <c r="BB160" i="1"/>
  <c r="AS159" i="1"/>
  <c r="AT159" i="1"/>
  <c r="AZ177" i="1"/>
  <c r="AZ178" i="1"/>
  <c r="AS158" i="1"/>
  <c r="BB158" i="1"/>
  <c r="AY175" i="1"/>
  <c r="AT158" i="1"/>
  <c r="AT337" i="1"/>
  <c r="AT336" i="1"/>
  <c r="AT331" i="1"/>
  <c r="AT320" i="1"/>
  <c r="AT335" i="1"/>
  <c r="AT323" i="1"/>
  <c r="AT326" i="1"/>
  <c r="AN320" i="1"/>
  <c r="AT311" i="1"/>
  <c r="AT322" i="1"/>
  <c r="AT339" i="1"/>
  <c r="AT327" i="1"/>
  <c r="AT321" i="1"/>
  <c r="AT332" i="1"/>
  <c r="AT328" i="1"/>
  <c r="AT334" i="1"/>
  <c r="AT325" i="1"/>
  <c r="AT329" i="1"/>
  <c r="AT338" i="1"/>
  <c r="AT312" i="1"/>
  <c r="AT324" i="1"/>
  <c r="AT330" i="1"/>
  <c r="BB270" i="1"/>
  <c r="BB559" i="1"/>
  <c r="BB305" i="1"/>
  <c r="BB240" i="1"/>
  <c r="BB487" i="1"/>
  <c r="BB475" i="1"/>
  <c r="BB449" i="1"/>
  <c r="BB355" i="1"/>
  <c r="AU176" i="1" l="1"/>
  <c r="B476" i="1"/>
  <c r="AT370" i="1"/>
  <c r="BB361" i="1"/>
  <c r="AG197" i="1"/>
  <c r="AU178" i="1" s="1"/>
  <c r="AN543" i="1"/>
  <c r="AT541" i="1" s="1"/>
  <c r="AT381" i="1"/>
  <c r="AT382" i="1"/>
  <c r="AT385" i="1"/>
  <c r="AT375" i="1"/>
  <c r="AT376" i="1"/>
  <c r="AT373" i="1"/>
  <c r="AT362" i="1"/>
  <c r="AT372" i="1"/>
  <c r="AT383" i="1"/>
  <c r="AT378" i="1"/>
  <c r="AT374" i="1"/>
  <c r="AT384" i="1"/>
  <c r="AT371" i="1"/>
  <c r="AT369" i="1"/>
  <c r="AT361" i="1"/>
  <c r="AT380" i="1"/>
  <c r="AT366" i="1"/>
  <c r="AT377" i="1"/>
  <c r="AN361" i="1"/>
  <c r="AY363" i="1" s="1"/>
  <c r="AT368" i="1"/>
  <c r="AT367" i="1"/>
  <c r="AT364" i="1"/>
  <c r="AN366" i="1"/>
  <c r="AS486" i="1" s="1"/>
  <c r="AT363" i="1"/>
  <c r="AN498" i="1"/>
  <c r="AT498" i="1" s="1"/>
  <c r="AN497" i="1"/>
  <c r="AT497" i="1" s="1"/>
  <c r="AV244" i="1"/>
  <c r="AG263" i="1"/>
  <c r="AO265" i="1" s="1"/>
  <c r="AU177" i="1"/>
  <c r="AN496" i="1"/>
  <c r="AT496" i="1" s="1"/>
  <c r="AN503" i="1"/>
  <c r="AT503" i="1" s="1"/>
  <c r="AN495" i="1"/>
  <c r="AT495" i="1" s="1"/>
  <c r="AM477" i="1"/>
  <c r="AV426" i="1"/>
  <c r="AZ418" i="1"/>
  <c r="AZ425" i="1"/>
  <c r="AZ419" i="1"/>
  <c r="BA414" i="1"/>
  <c r="AZ424" i="1"/>
  <c r="AS487" i="1"/>
  <c r="AZ415" i="1"/>
  <c r="AZ421" i="1"/>
  <c r="AZ416" i="1"/>
  <c r="AZ417" i="1"/>
  <c r="AZ423" i="1"/>
  <c r="AZ414" i="1"/>
  <c r="AZ420" i="1"/>
  <c r="AZ422" i="1"/>
  <c r="AT458" i="1"/>
  <c r="AT459" i="1"/>
  <c r="AT455" i="1"/>
  <c r="AT465" i="1"/>
  <c r="AT452" i="1"/>
  <c r="AT470" i="1"/>
  <c r="AT466" i="1"/>
  <c r="AT451" i="1"/>
  <c r="AT467" i="1"/>
  <c r="AT462" i="1"/>
  <c r="AT456" i="1"/>
  <c r="AT463" i="1"/>
  <c r="AT469" i="1"/>
  <c r="AT461" i="1"/>
  <c r="AT460" i="1"/>
  <c r="AT457" i="1"/>
  <c r="AN455" i="1"/>
  <c r="AT468" i="1"/>
  <c r="AT454" i="1"/>
  <c r="AT453" i="1"/>
  <c r="AP41" i="1"/>
  <c r="A121" i="1" s="1"/>
  <c r="AP121" i="1" s="1"/>
  <c r="AR554" i="1"/>
  <c r="AR558" i="1"/>
  <c r="AN542" i="1"/>
  <c r="AR559" i="1"/>
  <c r="AR555" i="1"/>
  <c r="AW545" i="1"/>
  <c r="AY539" i="1"/>
  <c r="AU545" i="1"/>
  <c r="AV545" i="1"/>
  <c r="AW539" i="1"/>
  <c r="AV539" i="1"/>
  <c r="AX545" i="1"/>
  <c r="AS539" i="1"/>
  <c r="AR539" i="1"/>
  <c r="AR545" i="1"/>
  <c r="AU539" i="1"/>
  <c r="AT545" i="1"/>
  <c r="AT539" i="1"/>
  <c r="AS545" i="1"/>
  <c r="AY545" i="1"/>
  <c r="AX539" i="1"/>
  <c r="AV332" i="1"/>
  <c r="AZ320" i="1"/>
  <c r="AZ327" i="1"/>
  <c r="AZ329" i="1"/>
  <c r="AZ328" i="1"/>
  <c r="BA320" i="1"/>
  <c r="AZ321" i="1"/>
  <c r="AS485" i="1"/>
  <c r="AZ322" i="1"/>
  <c r="AZ323" i="1"/>
  <c r="AZ325" i="1"/>
  <c r="AZ324" i="1"/>
  <c r="AZ326" i="1"/>
  <c r="AZ330" i="1"/>
  <c r="AZ331" i="1"/>
  <c r="AX23" i="1"/>
  <c r="AS542" i="1" l="1"/>
  <c r="AW542" i="1"/>
  <c r="AV541" i="1"/>
  <c r="AR541" i="1"/>
  <c r="AY362" i="1"/>
  <c r="AY364" i="1"/>
  <c r="AZ372" i="1"/>
  <c r="AN494" i="1"/>
  <c r="AT494" i="1" s="1"/>
  <c r="AG205" i="1"/>
  <c r="AG208" i="1" s="1"/>
  <c r="AP198" i="1"/>
  <c r="BA366" i="1"/>
  <c r="AV378" i="1"/>
  <c r="AZ377" i="1"/>
  <c r="AX541" i="1"/>
  <c r="AX542" i="1"/>
  <c r="AR557" i="1"/>
  <c r="AT542" i="1"/>
  <c r="AU541" i="1"/>
  <c r="AR542" i="1"/>
  <c r="AY541" i="1"/>
  <c r="AV542" i="1"/>
  <c r="AS541" i="1"/>
  <c r="AY542" i="1"/>
  <c r="AU542" i="1"/>
  <c r="AW541" i="1"/>
  <c r="AZ369" i="1"/>
  <c r="AZ375" i="1"/>
  <c r="AZ373" i="1"/>
  <c r="AZ370" i="1"/>
  <c r="AZ376" i="1"/>
  <c r="AZ367" i="1"/>
  <c r="AZ371" i="1"/>
  <c r="AZ374" i="1"/>
  <c r="AZ368" i="1"/>
  <c r="AZ366" i="1"/>
  <c r="AA498" i="1"/>
  <c r="AX477" i="1"/>
  <c r="AN477" i="1"/>
  <c r="AX244" i="1"/>
  <c r="AY244" i="1"/>
  <c r="AZ461" i="1"/>
  <c r="AZ460" i="1"/>
  <c r="AZ454" i="1"/>
  <c r="AZ458" i="1"/>
  <c r="AZ452" i="1"/>
  <c r="AZ459" i="1"/>
  <c r="AZ462" i="1"/>
  <c r="AZ457" i="1"/>
  <c r="AS488" i="1"/>
  <c r="AS489" i="1" s="1"/>
  <c r="AY477" i="1" s="1"/>
  <c r="BA451" i="1"/>
  <c r="AZ453" i="1"/>
  <c r="AZ455" i="1"/>
  <c r="AZ451" i="1"/>
  <c r="AZ456" i="1"/>
  <c r="AV463" i="1"/>
  <c r="A153" i="1"/>
  <c r="AP153" i="1" s="1"/>
  <c r="BB201" i="1" s="1"/>
  <c r="AY538" i="1"/>
  <c r="AU538" i="1"/>
  <c r="AU540" i="1"/>
  <c r="AR538" i="1"/>
  <c r="AV538" i="1"/>
  <c r="AW538" i="1"/>
  <c r="AR540" i="1"/>
  <c r="AY540" i="1"/>
  <c r="AW540" i="1"/>
  <c r="AS540" i="1"/>
  <c r="AT540" i="1"/>
  <c r="AT538" i="1"/>
  <c r="AX538" i="1"/>
  <c r="AR556" i="1"/>
  <c r="AV540" i="1"/>
  <c r="AS538" i="1"/>
  <c r="AX540" i="1"/>
  <c r="A201" i="1" l="1"/>
  <c r="AQ215" i="1"/>
  <c r="AU215" i="1" s="1"/>
  <c r="AA480" i="1"/>
  <c r="BA477" i="1"/>
  <c r="BA478" i="1"/>
  <c r="BA481" i="1"/>
  <c r="BA480" i="1"/>
  <c r="AA479" i="1"/>
  <c r="AT479" i="1"/>
  <c r="AT480" i="1"/>
  <c r="AT482" i="1"/>
  <c r="BA479" i="1"/>
  <c r="AT478" i="1"/>
  <c r="AA478" i="1"/>
  <c r="AT477" i="1"/>
  <c r="AA477" i="1"/>
  <c r="AT481" i="1"/>
  <c r="AA482" i="1"/>
  <c r="AA481" i="1"/>
  <c r="AP201" i="1" l="1"/>
  <c r="AT215" i="1"/>
  <c r="A240" i="1"/>
  <c r="AP240" i="1" l="1"/>
  <c r="AP231" i="1"/>
  <c r="AP230" i="1"/>
  <c r="A270" i="1"/>
  <c r="AO254" i="1" s="1"/>
  <c r="AP233" i="1"/>
  <c r="AP232" i="1"/>
  <c r="A305" i="1" l="1"/>
  <c r="AP305" i="1" s="1"/>
  <c r="AP270" i="1"/>
  <c r="B355" i="1" l="1"/>
  <c r="AU355" i="1" s="1"/>
  <c r="AN347" i="1" l="1"/>
  <c r="AN341" i="1"/>
  <c r="AN343" i="1"/>
  <c r="AN345" i="1"/>
  <c r="AN344" i="1"/>
  <c r="AN349" i="1"/>
  <c r="AN346" i="1"/>
  <c r="AN342" i="1"/>
  <c r="B402" i="1"/>
  <c r="AU402" i="1" s="1"/>
  <c r="AN391" i="1" l="1"/>
  <c r="B449" i="1"/>
  <c r="AN440" i="1" s="1"/>
  <c r="AN392" i="1"/>
  <c r="AN394" i="1"/>
  <c r="AN395" i="1"/>
  <c r="AN387" i="1"/>
  <c r="AN393" i="1"/>
  <c r="AN390" i="1"/>
  <c r="AN388" i="1"/>
  <c r="AN389" i="1"/>
  <c r="AN435" i="1" l="1"/>
  <c r="AN442" i="1"/>
  <c r="AN436" i="1"/>
  <c r="AN439" i="1"/>
  <c r="AN437" i="1"/>
  <c r="B475" i="1"/>
  <c r="AU475" i="1" s="1"/>
  <c r="AN438" i="1"/>
  <c r="AN441" i="1"/>
  <c r="AN472" i="1" l="1"/>
  <c r="AN473" i="1"/>
  <c r="AN471" i="1"/>
  <c r="AN469" i="1"/>
  <c r="AN468" i="1"/>
  <c r="B510" i="1"/>
  <c r="AR510" i="1" s="1"/>
  <c r="AN470" i="1"/>
  <c r="AS510" i="1" l="1"/>
  <c r="AU510" i="1" s="1"/>
  <c r="AR7" i="1" s="1"/>
  <c r="A42" i="1" s="1"/>
  <c r="AN479" i="1"/>
  <c r="AN480" i="1"/>
  <c r="AN481" i="1"/>
  <c r="AN482" i="1"/>
  <c r="A538" i="1"/>
  <c r="BB537" i="1" s="1"/>
  <c r="BB538" i="1" l="1"/>
  <c r="BB536" i="1"/>
  <c r="BB539" i="1"/>
  <c r="BB540" i="1"/>
</calcChain>
</file>

<file path=xl/sharedStrings.xml><?xml version="1.0" encoding="utf-8"?>
<sst xmlns="http://schemas.openxmlformats.org/spreadsheetml/2006/main" count="1015" uniqueCount="552">
  <si>
    <t>Texas Department of State Health Services</t>
  </si>
  <si>
    <t>Housing Opportunities for Persons with AIDS</t>
  </si>
  <si>
    <t>Program Progress Report for Project Sponsors</t>
  </si>
  <si>
    <t>Coversheet</t>
  </si>
  <si>
    <t>Project Sponsor and Report Information</t>
  </si>
  <si>
    <t>Project Sponsor</t>
  </si>
  <si>
    <t>HIV Service Delivery Area</t>
  </si>
  <si>
    <t>Administrative Agency</t>
  </si>
  <si>
    <t>Title</t>
  </si>
  <si>
    <t>Phone</t>
  </si>
  <si>
    <t>Email</t>
  </si>
  <si>
    <t>(P1) Semi-Annual</t>
  </si>
  <si>
    <t>*1=</t>
  </si>
  <si>
    <t>*2=</t>
  </si>
  <si>
    <t>Determining the Adjustment Amount</t>
  </si>
  <si>
    <t>TBRA</t>
  </si>
  <si>
    <t>STRMU</t>
  </si>
  <si>
    <t>PHP</t>
  </si>
  <si>
    <t>Adjustment for duplication (subtract)</t>
  </si>
  <si>
    <r>
      <rPr>
        <b/>
        <sz val="8"/>
        <color theme="1"/>
        <rFont val="Calibri"/>
        <family val="2"/>
        <scheme val="minor"/>
      </rPr>
      <t>Adjustment for Duplication:</t>
    </r>
    <r>
      <rPr>
        <sz val="8"/>
        <color theme="1"/>
        <rFont val="Calibri"/>
        <family val="2"/>
        <scheme val="minor"/>
      </rPr>
      <t xml:space="preserve"> Enables the calculation of unduplicated output totals by accounting for the total number of households or units that received more than one type of HOPWA assistance in a given service category. Use the following table as a guide for deduplication:</t>
    </r>
  </si>
  <si>
    <t>AA</t>
  </si>
  <si>
    <t>Supportive Services</t>
  </si>
  <si>
    <t>Color Legend</t>
  </si>
  <si>
    <r>
      <rPr>
        <b/>
        <sz val="8"/>
        <color rgb="FFC00000"/>
        <rFont val="Calibri"/>
        <family val="2"/>
        <scheme val="minor"/>
      </rPr>
      <t>NOTE:</t>
    </r>
    <r>
      <rPr>
        <sz val="8"/>
        <color rgb="FFC00000"/>
        <rFont val="Calibri"/>
        <family val="2"/>
        <scheme val="minor"/>
      </rPr>
      <t xml:space="preserve"> Data entered in cells with these colors should be the same throughout your report. Please, check your data for consistency.</t>
    </r>
  </si>
  <si>
    <t>Project Sponsor Narrative and Performance Assessment</t>
  </si>
  <si>
    <t>Outputs Reported</t>
  </si>
  <si>
    <t>Outcomes Assessed</t>
  </si>
  <si>
    <t>Part</t>
  </si>
  <si>
    <t>Coordination</t>
  </si>
  <si>
    <t>Barriers and Recommendations</t>
  </si>
  <si>
    <t>Describe any barriers (including regulatory and non-regulatory) encountered in the administration or implementation of the HOPWA Program, how they affected your program’s ability to achieve the objectives and outcomes discussed, and actions taken in response to barriers, as well as recommendations for program improvement. You may select more than one from the following list. Specify a barrier for each explanation or description.</t>
  </si>
  <si>
    <t>HOPWA/HUD Regulations</t>
  </si>
  <si>
    <t>Discrimination/Confidentiality</t>
  </si>
  <si>
    <t>Housing Affordability</t>
  </si>
  <si>
    <t>Planning</t>
  </si>
  <si>
    <t>Multiple Diagnoses</t>
  </si>
  <si>
    <t>Credit History</t>
  </si>
  <si>
    <t>Geography/Rural Access</t>
  </si>
  <si>
    <t>Housing Availability</t>
  </si>
  <si>
    <t>Eligibility</t>
  </si>
  <si>
    <t>Rental History</t>
  </si>
  <si>
    <t>Other, please explain further</t>
  </si>
  <si>
    <t>Technical Assistance or Training</t>
  </si>
  <si>
    <t>Criminal Justice History</t>
  </si>
  <si>
    <t>Rent Calculation/Fair Market Rent</t>
  </si>
  <si>
    <t>Barrier</t>
  </si>
  <si>
    <t>Probable Cause</t>
  </si>
  <si>
    <t>Technical Assistance Needed</t>
  </si>
  <si>
    <t>Attempted Solution</t>
  </si>
  <si>
    <t>Technical Assistance</t>
  </si>
  <si>
    <t>Describe any technical assistance needs and how they will benefit program beneficiaries.</t>
  </si>
  <si>
    <t>Waitlist Data</t>
  </si>
  <si>
    <t>a</t>
  </si>
  <si>
    <t>b</t>
  </si>
  <si>
    <t>c</t>
  </si>
  <si>
    <t>P1</t>
  </si>
  <si>
    <t>P2</t>
  </si>
  <si>
    <t>d</t>
  </si>
  <si>
    <t>Prior Living Situation</t>
  </si>
  <si>
    <t>Continuing</t>
  </si>
  <si>
    <t>New</t>
  </si>
  <si>
    <t>Psychiatric hospital or other psychiatric facility</t>
  </si>
  <si>
    <t>Rented room, apartment, or house</t>
  </si>
  <si>
    <t>Staying or living in someone else’s (family and friends) room, apartment, or house</t>
  </si>
  <si>
    <t>Other</t>
  </si>
  <si>
    <r>
      <t>Subtotal</t>
    </r>
    <r>
      <rPr>
        <sz val="8"/>
        <color theme="1"/>
        <rFont val="Calibri"/>
        <family val="2"/>
        <scheme val="minor"/>
      </rPr>
      <t xml:space="preserve"> (Sum of Rows 2-4)</t>
    </r>
  </si>
  <si>
    <r>
      <t>Subtotal</t>
    </r>
    <r>
      <rPr>
        <sz val="8"/>
        <color theme="1"/>
        <rFont val="Calibri"/>
        <family val="2"/>
        <scheme val="minor"/>
      </rPr>
      <t xml:space="preserve"> (Sum of Rows 6-17)</t>
    </r>
  </si>
  <si>
    <t>Homeless Individuals Summary</t>
  </si>
  <si>
    <t>Homeless Veterans</t>
  </si>
  <si>
    <t>Chronically Homeless Persons</t>
  </si>
  <si>
    <t>Age and Gender</t>
  </si>
  <si>
    <r>
      <rPr>
        <b/>
        <u/>
        <sz val="8"/>
        <color theme="1"/>
        <rFont val="Calibri"/>
        <family val="2"/>
        <scheme val="minor"/>
      </rPr>
      <t>Record Keeping</t>
    </r>
    <r>
      <rPr>
        <b/>
        <sz val="8"/>
        <color theme="1"/>
        <rFont val="Calibri"/>
        <family val="2"/>
        <scheme val="minor"/>
      </rPr>
      <t xml:space="preserve">
</t>
    </r>
    <r>
      <rPr>
        <sz val="8"/>
        <color theme="1"/>
        <rFont val="Calibri"/>
        <family val="2"/>
        <scheme val="minor"/>
      </rPr>
      <t xml:space="preserve">Names and other individual information must be kept confidential, as required by 24 CFR 574.440. However, HUD reserves the right to review the information used to complete this report for grants management oversight purposes, except for recording any names and other identifying information. </t>
    </r>
    <r>
      <rPr>
        <b/>
        <sz val="8"/>
        <color theme="1"/>
        <rFont val="Calibri"/>
        <family val="2"/>
        <scheme val="minor"/>
      </rPr>
      <t>In the case that HUD must review client level data, no client names or identifying information will be retained or recorded. Information is reported in aggregate to HUD without personal identification. Do not submit client or personal information in data systems to HUD.</t>
    </r>
  </si>
  <si>
    <t>Under 18</t>
  </si>
  <si>
    <t>18 to 30 years</t>
  </si>
  <si>
    <t>31 to 50 years</t>
  </si>
  <si>
    <t>51 years and older</t>
  </si>
  <si>
    <t>American Indian/Alaskan Native</t>
  </si>
  <si>
    <t>Asian</t>
  </si>
  <si>
    <t>Black/African American</t>
  </si>
  <si>
    <t>Native Hawaiian/Other Pacific Islander</t>
  </si>
  <si>
    <t>White</t>
  </si>
  <si>
    <t>Other Multi-Racial</t>
  </si>
  <si>
    <t>Race</t>
  </si>
  <si>
    <t>Housing Choice Voucher Program</t>
  </si>
  <si>
    <t>HOME</t>
  </si>
  <si>
    <t>Emergency Solutions Grant</t>
  </si>
  <si>
    <t>Expenditures</t>
  </si>
  <si>
    <t>Program Income Collected</t>
  </si>
  <si>
    <t>Program Income Expended</t>
  </si>
  <si>
    <t>Program income expended on housing assistance</t>
  </si>
  <si>
    <t>Sources of Income</t>
  </si>
  <si>
    <t xml:space="preserve">Adjustment Amount (Sum of the products)
</t>
  </si>
  <si>
    <t>Adjustment</t>
  </si>
  <si>
    <t>Total</t>
  </si>
  <si>
    <t>Mortgage only</t>
  </si>
  <si>
    <t>Rent only</t>
  </si>
  <si>
    <t>Utility only</t>
  </si>
  <si>
    <t>Reports must be submitted to:</t>
  </si>
  <si>
    <t>CC the HOPWA Coordinator at:</t>
  </si>
  <si>
    <t>Due to DSHS:</t>
  </si>
  <si>
    <t>Assess your program’s success in enabling HOPWA beneficiaries to establish and/or better maintain a stable living environment in housing that is safe, decent, and sanitary, and improve access to care. Compare current year results to baseline results for clients. Describe how program activities contributed to meeting stated goals. If you did not achieve expected targets, describe how your program plans to address challenges in program implementation and steps being taken to achieve goals in next program year. If your program exceeded program targets, please describe strategies the program utilized and how those contributed to program
successes.</t>
  </si>
  <si>
    <t>Report on program coordination with other mainstream housing and supportive services resources, including the use of committed leveraging from other public and private sources that helped to address needs for eligible persons identified in the annual HOPWA Budget Application. Address community outreach efforts and Fair Housing initiatives or accomplishments. For example, outreach efforts targeted to areas of minority concentration. Describe how you Affirmatively Furthered Fair Housing during the program year.</t>
  </si>
  <si>
    <t>How many households received exactly 2 types of housing assistance during the program year?</t>
  </si>
  <si>
    <t>How many households received exactly 3 types of housing assistance during the program year?</t>
  </si>
  <si>
    <t>In connection with the development of the Department’s standards for Homeless Management Information Systems (HMIS), universal data elements are being collected for clients of HOPWA-funded homeless assistance projects. These Project Sponsor records would include: Name, Social Security Number, Date of Birth, Ethnicity and Race, Gender, Veteran Status, Disabling Conditions, Residence Prior to Program Entry, Zip Code of Last Permanent Address, Housing Status, Program Entry Date, Program Exit Date, Personal Identification Number, and Household Identification Number. These are intended to match the elements under HMIS. The HOPWA Program-level data elements include: Income and Sources, Non-Cash Benefits, HIV/AIDS Status, Services Provided, and Housing Status or Destination at the end of the program year. Other suggested but optional elements are: Physical Disability, Developmental Disability, Chronic Health Condition, Mental Health, Substance Abuse, Domestic Violence, Date of Contact, Date of Engagement, Financial Assistance, Housing Relocation &amp; Stabilization Services, Employment, Education, General Health Status, Pregnancy Status, Reasons for Leaving, Veteran’s Information, and Children’s Education. Other HOPWA projects sponsors may also benefit from collecting these data elements.</t>
  </si>
  <si>
    <t>Program income expended on other support</t>
  </si>
  <si>
    <t>Project Sponsor Households and Expenditures</t>
  </si>
  <si>
    <r>
      <t>Total</t>
    </r>
    <r>
      <rPr>
        <sz val="8"/>
        <color theme="1"/>
        <rFont val="Calibri"/>
        <family val="2"/>
        <scheme val="minor"/>
      </rPr>
      <t xml:space="preserve"> (Sum of Rows 1, 5, &amp; 18)</t>
    </r>
  </si>
  <si>
    <t>Sum of 1, 5, &amp; 18</t>
  </si>
  <si>
    <t>HSDA</t>
  </si>
  <si>
    <t>Abilene</t>
  </si>
  <si>
    <t>Amarillo</t>
  </si>
  <si>
    <t>Austin</t>
  </si>
  <si>
    <t>Beaumont-Port Arthur</t>
  </si>
  <si>
    <t>Brownsville-Harlingen</t>
  </si>
  <si>
    <t>Bryan-College Station</t>
  </si>
  <si>
    <t>Corpus Christi</t>
  </si>
  <si>
    <t>Dallas</t>
  </si>
  <si>
    <t>Eagle Pass-Uvalde</t>
  </si>
  <si>
    <t>El Paso</t>
  </si>
  <si>
    <t>Fort Worth</t>
  </si>
  <si>
    <t>Galveston</t>
  </si>
  <si>
    <t>Houston</t>
  </si>
  <si>
    <t>Laredo</t>
  </si>
  <si>
    <t>Lubbock</t>
  </si>
  <si>
    <t>Midland-Odessa</t>
  </si>
  <si>
    <t>Nacogdoches-Lufkin</t>
  </si>
  <si>
    <t>San Angelo-Concho Plateau</t>
  </si>
  <si>
    <t>San Antonio</t>
  </si>
  <si>
    <t>Temple-Killeen</t>
  </si>
  <si>
    <t>Texarkana-Paris</t>
  </si>
  <si>
    <t>Tyler-Longview</t>
  </si>
  <si>
    <t>Victoria</t>
  </si>
  <si>
    <t>Waco</t>
  </si>
  <si>
    <t>Wichita Falls</t>
  </si>
  <si>
    <t>Describe program accomplishments including the number of housing units supported and the number households assisted with HOPWA funds during this program year. Include a comparison between proposed and actual accomplishments, as demonstrated in Part 2: Project Sponsor Households and Expenditures, B. Goals and Outputs Summary. In the narrative, describe how the different types of housing assistance are coordinated to serve clients.</t>
  </si>
  <si>
    <t>Use the Project Sponsor Narrative and Performance Assessment (items 1 through 7) to succinctly describe in a one to three page narrative how activities enabled households to improve housing stability, increased access to care and support, and reduced their risk of homelessness. Describe the organization of the HOPWA Program and how the program interacts with other housing and supportive service programs in the community and/or state. The narrative should detail program accomplishments, barriers to achieving stated performance goals, technical assistance needs, and innovative outreach and support strategies utilized by Project Sponsors or partner organizations to achieve program goals. In addition, provide information on any evaluations of the project’s accomplishments conducted during the program year. DSHS considers each response as ongoing consultation with HOPWA stakeholders. The narrative data below may be used for public information, including posting on HUD’s web page. Additionally, DSHS may use the narrative data below to develop the State of Texas Assessment of Fair Housing, Consolidated Plan, and Consolidated Annual Performance and Evaluation Report.</t>
  </si>
  <si>
    <t>Other Discussion Items</t>
  </si>
  <si>
    <t xml:space="preserve">If the Project Sponsor has other discussion items as they relate to the DSHS HOPWA Program (i.e., feedback, ideas, recommendations, etc.), enter them here. </t>
  </si>
  <si>
    <r>
      <rPr>
        <b/>
        <sz val="9"/>
        <color rgb="FFC00000"/>
        <rFont val="Calibri"/>
        <family val="2"/>
        <scheme val="minor"/>
      </rPr>
      <t>NOTE:</t>
    </r>
    <r>
      <rPr>
        <sz val="9"/>
        <color rgb="FFC00000"/>
        <rFont val="Calibri"/>
        <family val="2"/>
        <scheme val="minor"/>
      </rPr>
      <t xml:space="preserve"> To AutoFit row height to cell contents, locate the cell's row heading and double-click the lower edge of the heading. To start a new paragraph in a single cell, hit Alt+Enter.</t>
    </r>
  </si>
  <si>
    <t>FBHA</t>
  </si>
  <si>
    <r>
      <t>Total</t>
    </r>
    <r>
      <rPr>
        <sz val="8"/>
        <color theme="1"/>
        <rFont val="Calibri"/>
        <family val="2"/>
        <scheme val="minor"/>
      </rPr>
      <t xml:space="preserve"> (Sum of Rows 1-3)</t>
    </r>
  </si>
  <si>
    <t>Duplication</t>
  </si>
  <si>
    <t>*3=</t>
  </si>
  <si>
    <r>
      <t>Total</t>
    </r>
    <r>
      <rPr>
        <sz val="8"/>
        <color theme="1"/>
        <rFont val="Calibri"/>
        <family val="2"/>
        <scheme val="minor"/>
      </rPr>
      <t xml:space="preserve"> (Sum of Rows 1-4 minus Row 5)</t>
    </r>
    <r>
      <rPr>
        <b/>
        <sz val="8"/>
        <color theme="1"/>
        <rFont val="Calibri"/>
        <family val="2"/>
        <scheme val="minor"/>
      </rPr>
      <t xml:space="preserve">
</t>
    </r>
  </si>
  <si>
    <t>How many households received exactly 4 types of housing assistance during the program year?</t>
  </si>
  <si>
    <t>Resident rent payments made to the HOPWA program</t>
  </si>
  <si>
    <t>Other income generated from the use of HOPWA funds, including repayments</t>
  </si>
  <si>
    <t>Leasing</t>
  </si>
  <si>
    <t>Operating</t>
  </si>
  <si>
    <t>Below 80%</t>
  </si>
  <si>
    <r>
      <rPr>
        <b/>
        <u/>
        <sz val="8"/>
        <color theme="1"/>
        <rFont val="Calibri"/>
        <family val="2"/>
        <scheme val="minor"/>
      </rPr>
      <t>Overview</t>
    </r>
    <r>
      <rPr>
        <b/>
        <sz val="8"/>
        <color theme="1"/>
        <rFont val="Calibri"/>
        <family val="2"/>
        <scheme val="minor"/>
      </rPr>
      <t xml:space="preserve">
</t>
    </r>
    <r>
      <rPr>
        <sz val="8"/>
        <color theme="1"/>
        <rFont val="Calibri"/>
        <family val="2"/>
        <scheme val="minor"/>
      </rPr>
      <t>The Program Progress Report (PPR) provides annual performance reporting on client outputs and outcomes that enables an assessment of Project Sponsor performance in achieving the housing stability outcome measure.  The PPR fulfills statutory and regulatory program reporting requirements and provides The Texas Department of State Health Services (DSHS) and the U.S. Department of Housing and Urban Development (HUD) with the necessary information to assess the overall program performance and accomplishments against planned goals and objectives.</t>
    </r>
  </si>
  <si>
    <r>
      <t>Total</t>
    </r>
    <r>
      <rPr>
        <sz val="8"/>
        <color theme="1"/>
        <rFont val="Calibri"/>
        <family val="2"/>
        <scheme val="minor"/>
      </rPr>
      <t xml:space="preserve"> (Sum of Rows 1-4 minus Row 5)</t>
    </r>
  </si>
  <si>
    <t>HOPWA Project Sponsors are required to submit a report for each program year in which HOPWA grant funds were expended. Project Sponsors must complete Parts 1-5 on standard reporting elements.</t>
  </si>
  <si>
    <t>Master-Leasing</t>
  </si>
  <si>
    <t>Preparer</t>
  </si>
  <si>
    <t>blade.berkman@dshs.texas.gov</t>
  </si>
  <si>
    <t>hivstdreport.tech@dshs.texas.gov</t>
  </si>
  <si>
    <t>Additional DSHS Reporting Elements</t>
  </si>
  <si>
    <t>Cis Male</t>
  </si>
  <si>
    <t>Cis Female</t>
  </si>
  <si>
    <t>Trans Male</t>
  </si>
  <si>
    <t>Trans Female</t>
  </si>
  <si>
    <t>Hispanic/Latinx</t>
  </si>
  <si>
    <t>American Indian/Alaskan Native + White</t>
  </si>
  <si>
    <t>Asian + White</t>
  </si>
  <si>
    <t>Black/African American + White</t>
  </si>
  <si>
    <t>American Indian/Alaskan Native + Black/African American</t>
  </si>
  <si>
    <t>Administrative Agency Submission Instructions</t>
  </si>
  <si>
    <t>More than one type</t>
  </si>
  <si>
    <t>Adjustments for Duplication</t>
  </si>
  <si>
    <t>Output: Households</t>
  </si>
  <si>
    <t>Output: Expenditures</t>
  </si>
  <si>
    <t>Tenant-Based Rental Assistance (TBRA) Households</t>
  </si>
  <si>
    <t>Short-Term Rent, Mortgage, and Utility (STRMU) Households</t>
  </si>
  <si>
    <t>Facility-Based Housing Assistance (FBHA) Households</t>
  </si>
  <si>
    <t>Permanent Housing Placement (PHP) Households</t>
  </si>
  <si>
    <r>
      <t>Total</t>
    </r>
    <r>
      <rPr>
        <sz val="8"/>
        <color theme="1"/>
        <rFont val="Calibri"/>
        <family val="2"/>
        <scheme val="minor"/>
      </rPr>
      <t xml:space="preserve"> (Sum of Rows 7-9 minus Row 10)</t>
    </r>
  </si>
  <si>
    <t>HCM</t>
  </si>
  <si>
    <t>HIS</t>
  </si>
  <si>
    <r>
      <t>Total</t>
    </r>
    <r>
      <rPr>
        <sz val="8"/>
        <color theme="1"/>
        <rFont val="Calibri"/>
        <family val="2"/>
        <scheme val="minor"/>
      </rPr>
      <t xml:space="preserve"> (Sum of Rows 12-17 minus Row 18)</t>
    </r>
  </si>
  <si>
    <t>Housing Case Management (HCM) Households</t>
  </si>
  <si>
    <t>Housing Information Services (HIS) Households</t>
  </si>
  <si>
    <t>Ethnicity</t>
  </si>
  <si>
    <t>Gender Non-Binary</t>
  </si>
  <si>
    <t>Not Disclosed</t>
  </si>
  <si>
    <t>Non-Hispanic/Latinx</t>
  </si>
  <si>
    <t>Eligible Individuals and Additional Beneficiaries</t>
  </si>
  <si>
    <t>Activity</t>
  </si>
  <si>
    <t>Facility-Based Housing Assistance</t>
  </si>
  <si>
    <t>Project Sponsor Administration</t>
  </si>
  <si>
    <t>Eligible Individuals Demographics</t>
  </si>
  <si>
    <t>Additional Beneficiaries Demographics</t>
  </si>
  <si>
    <t>Housing Assistance Services Only</t>
  </si>
  <si>
    <t>Adjustment for Duplication: Housing Assistance Services Only (Subtract)</t>
  </si>
  <si>
    <t>Eligible individuals who were served by any type of activity</t>
  </si>
  <si>
    <t>HIV-positive persons who resided with the eligible individuals in Row 1 and were served by any type of activity</t>
  </si>
  <si>
    <t>HIV-negative persons who resided with the eligible individuals in Row 1 and were served by any type of activity</t>
  </si>
  <si>
    <t>Enter the number of eligible individuals by prior living situation who received TBRA, FBHA, and/or PHP only (not STRMU).</t>
  </si>
  <si>
    <t>Continued receiving HOPWA assistance from the previous year</t>
  </si>
  <si>
    <t>Place not meant for human habitation (e.g., vehicle, abandoned building, transit station, or outside)</t>
  </si>
  <si>
    <t>Emergency shelter (including a hotel/motel paid for by an emergency shelter voucher)</t>
  </si>
  <si>
    <t>Transitional housing for formerly homeless persons</t>
  </si>
  <si>
    <t>Permanent housing for formerly homeless persons</t>
  </si>
  <si>
    <t>Substance use treatment facility or detox center</t>
  </si>
  <si>
    <t>Non-psychiatric hospital</t>
  </si>
  <si>
    <t>Foster care home</t>
  </si>
  <si>
    <t>Jail, prison, or juvenile detention facility</t>
  </si>
  <si>
    <t>Home you own</t>
  </si>
  <si>
    <t>Don’t know or refused to report</t>
  </si>
  <si>
    <t>Enter the number of eligible individuals under Prior Living Situation, Row 5 who were chronically homeless and/or homeless veterans.</t>
  </si>
  <si>
    <t>Ryan White</t>
  </si>
  <si>
    <t>Continuum of Care (CoC)</t>
  </si>
  <si>
    <t>Low-Income Housing Tax Credit</t>
  </si>
  <si>
    <t>Private grants</t>
  </si>
  <si>
    <t>In-kind resources</t>
  </si>
  <si>
    <t>Grantee cash</t>
  </si>
  <si>
    <r>
      <rPr>
        <b/>
        <sz val="8"/>
        <color theme="1"/>
        <rFont val="Calibri"/>
        <family val="2"/>
        <scheme val="minor"/>
      </rPr>
      <t>Total</t>
    </r>
    <r>
      <rPr>
        <sz val="8"/>
        <color theme="1"/>
        <rFont val="Calibri"/>
        <family val="2"/>
        <scheme val="minor"/>
      </rPr>
      <t xml:space="preserve"> (Sum of Rows 1-14)</t>
    </r>
  </si>
  <si>
    <t>Provided housing assistance?</t>
  </si>
  <si>
    <t>Yes</t>
  </si>
  <si>
    <t>No</t>
  </si>
  <si>
    <t>HA</t>
  </si>
  <si>
    <t>Sources of Leveraging and Program Income</t>
  </si>
  <si>
    <r>
      <rPr>
        <b/>
        <sz val="8"/>
        <color theme="1"/>
        <rFont val="Calibri"/>
        <family val="2"/>
        <scheme val="minor"/>
      </rPr>
      <t>Total</t>
    </r>
    <r>
      <rPr>
        <sz val="8"/>
        <color theme="1"/>
        <rFont val="Calibri"/>
        <family val="2"/>
        <scheme val="minor"/>
      </rPr>
      <t xml:space="preserve"> (Sum of Rows 16 &amp; 17)</t>
    </r>
  </si>
  <si>
    <r>
      <rPr>
        <b/>
        <sz val="8"/>
        <color theme="1"/>
        <rFont val="Calibri"/>
        <family val="2"/>
        <scheme val="minor"/>
      </rPr>
      <t>Total</t>
    </r>
    <r>
      <rPr>
        <sz val="8"/>
        <color theme="1"/>
        <rFont val="Calibri"/>
        <family val="2"/>
        <scheme val="minor"/>
      </rPr>
      <t xml:space="preserve"> (Sum of Rows 19 &amp; 20)</t>
    </r>
  </si>
  <si>
    <t>Public or Private Sources of Leveraged Funding</t>
  </si>
  <si>
    <t>Rent Payments Made by Households</t>
  </si>
  <si>
    <t>Health Outcomes</t>
  </si>
  <si>
    <t>Longevity</t>
  </si>
  <si>
    <t>Income Levels</t>
  </si>
  <si>
    <t>Households with income below 30% of Area Median Income.</t>
  </si>
  <si>
    <t>Households with income between 31% and 50% of Area Median Income.</t>
  </si>
  <si>
    <t>Households with income between 51% and 80% of Area Median Income.</t>
  </si>
  <si>
    <t>Households that have received TBRA for less than 1 year.</t>
  </si>
  <si>
    <t>Households that have received TBRA for more than 1 year, but less than 5 years.</t>
  </si>
  <si>
    <t>Households that have received TBRA for more than 5 years, but less than 10 years.</t>
  </si>
  <si>
    <t>Households that have received TBRA for more than 10 years, but less than 15 years.</t>
  </si>
  <si>
    <t>Households that have received TBRA for more than 15 years.</t>
  </si>
  <si>
    <t>Households that accessed and/or maintained earned income from employment.</t>
  </si>
  <si>
    <t>Households that accessed and/or maintained retirement.</t>
  </si>
  <si>
    <t>Households that accessed and/or maintained Supplemental Security Income (SSI).</t>
  </si>
  <si>
    <t>Households that accessed and/or maintained Social Security Disability Income (SSDI).</t>
  </si>
  <si>
    <t>Households that accessed and/or maintained regular contributions or gifts from organizations or persons not residing in the dwelling.</t>
  </si>
  <si>
    <t>Households that had no income.</t>
  </si>
  <si>
    <t>Sources of Medical Insurance and/or Assistance</t>
  </si>
  <si>
    <t>Households that accessed and/or maintained Medicaid health program or local program equivalent</t>
  </si>
  <si>
    <t>Households that accessed and/or maintained Medicare health insurance or local program equivalent</t>
  </si>
  <si>
    <t>Households that accessed and/or maintained Veterans Affairs medical services</t>
  </si>
  <si>
    <t>Households that accessed and/or maintained Texas HIV Medication Program (THMP)</t>
  </si>
  <si>
    <t>Households that accessed and/or maintained Children's Health Insurance Program (CHIP) or local program equivalent</t>
  </si>
  <si>
    <t>Households that accessed and/or maintained Ryan White-funded medical and/or dental assistance</t>
  </si>
  <si>
    <t>Households that accessed and/or maintained workers compensation.</t>
  </si>
  <si>
    <t>Households that accessed and/or maintained general assistance (GA) or local program equivalent.</t>
  </si>
  <si>
    <t>Households that accessed and/or maintained unemployment insurance.</t>
  </si>
  <si>
    <t>Households that have received FBHA for less than 1 year.</t>
  </si>
  <si>
    <t>Households that have received FBHA for more than 1 year, but less than 5 years.</t>
  </si>
  <si>
    <t>Households that have received FBHA for more than 5 years, but less than 10 years.</t>
  </si>
  <si>
    <t>Households that have received FBHA for more than 10 years, but less than 15 years.</t>
  </si>
  <si>
    <t>Households that have received FBHA for more than 15 years.</t>
  </si>
  <si>
    <t>Household Status</t>
  </si>
  <si>
    <t>Households that received STRMU for the first time this year.</t>
  </si>
  <si>
    <t>Households that received STRMU during the previous STRMU eligibility period.</t>
  </si>
  <si>
    <t>Households that received STRMU during the last five consecutive STRMU eligibility periods.</t>
  </si>
  <si>
    <t>Access to Care</t>
  </si>
  <si>
    <t>Households that had contact with a case manager</t>
  </si>
  <si>
    <t>Households that developed a housing plan for maintaining or establishing stable housing</t>
  </si>
  <si>
    <t>Households that accessed and/or maintained medical insurance and/or assistance</t>
  </si>
  <si>
    <t>Households that had contact with a primary health care provider</t>
  </si>
  <si>
    <t>Households that accessed and/or maintained sources of income</t>
  </si>
  <si>
    <t>Households that obtained and/or maintained an income-producing job</t>
  </si>
  <si>
    <t>Households that accessed and/or maintained other sources of income.</t>
  </si>
  <si>
    <t>Part 6</t>
  </si>
  <si>
    <r>
      <rPr>
        <b/>
        <u/>
        <sz val="8"/>
        <color theme="1"/>
        <rFont val="Calibri"/>
        <family val="2"/>
        <scheme val="minor"/>
      </rPr>
      <t>Table of Contents</t>
    </r>
    <r>
      <rPr>
        <sz val="8"/>
        <color theme="1"/>
        <rFont val="Calibri"/>
        <family val="2"/>
        <scheme val="minor"/>
      </rPr>
      <t xml:space="preserve">
Part 1: Project Sponsor Narrative and Performance Assessment
Part 2: Project Sponsor Households and Expenditures
Part 3: Demographics and Prior Living Situations
Part 4: Sources of Leveraging and Program Income
Part 5: Outcomes
Part 6: Facility-Based Housing Assistance
</t>
    </r>
  </si>
  <si>
    <t>Facility Information</t>
  </si>
  <si>
    <t>Households that continued to the next year</t>
  </si>
  <si>
    <t>Households whose destination was other HOPWA housing assistance</t>
  </si>
  <si>
    <t>Households whose destination was other non-HOPWA housing assistance</t>
  </si>
  <si>
    <t>Households whose destination was private housing</t>
  </si>
  <si>
    <t>Households whose destination was an institutional arrangement expected to last more than six months</t>
  </si>
  <si>
    <t>Households whose destination was an institutional arrangement expected to last less than six months</t>
  </si>
  <si>
    <t>Households whose destination was transitional housing</t>
  </si>
  <si>
    <t>Households whose destination was temporary housing</t>
  </si>
  <si>
    <t>Households whose destination was emergency shelter</t>
  </si>
  <si>
    <t>Households whose destination was a jail/prison term expected to last more than six months</t>
  </si>
  <si>
    <t>Households whose destination was a jail/prison term expected to last less than six months</t>
  </si>
  <si>
    <t>Households that were disconnected from care</t>
  </si>
  <si>
    <t>Households where the eligible individual remained in housing until death</t>
  </si>
  <si>
    <t>Households whose destination was a place not meant for human habitation</t>
  </si>
  <si>
    <t>Households that likely to need additional STRMU to maintain current housing arrangements</t>
  </si>
  <si>
    <t>Placed into service during this program year</t>
  </si>
  <si>
    <t>Medically assisted living facility</t>
  </si>
  <si>
    <t>Facility name</t>
  </si>
  <si>
    <t>If yes, how many units were placed into service</t>
  </si>
  <si>
    <t>Households that received Leasing support</t>
  </si>
  <si>
    <t>Expenditures for Leasing support</t>
  </si>
  <si>
    <t>Households that received Operating support</t>
  </si>
  <si>
    <t>Expenditures for Operating support</t>
  </si>
  <si>
    <t>Expenditures for Hotel/Motel support</t>
  </si>
  <si>
    <t>Households that received Hotel/Motel support</t>
  </si>
  <si>
    <t>Hotel/Motel (Leasing)</t>
  </si>
  <si>
    <t>Project-Based Rental Assistance</t>
  </si>
  <si>
    <t>Households that received Master-Leasing support</t>
  </si>
  <si>
    <t>Expenditures for Master-Leasing support</t>
  </si>
  <si>
    <t>Households that received Project-Based Rental Assistance support</t>
  </si>
  <si>
    <t>Expenditures for Project-Based Rental Assistance support</t>
  </si>
  <si>
    <t>Facility 1</t>
  </si>
  <si>
    <t>Facility 2</t>
  </si>
  <si>
    <t>Facility 3</t>
  </si>
  <si>
    <t>Facility 4</t>
  </si>
  <si>
    <t>Facility 5</t>
  </si>
  <si>
    <t>Facility 6</t>
  </si>
  <si>
    <t>Facility 7</t>
  </si>
  <si>
    <t>Facility 8</t>
  </si>
  <si>
    <t>FBHA Household Deduplication</t>
  </si>
  <si>
    <t>Adjustment for Duplication: All FBHA Support Categories (Subtract)</t>
  </si>
  <si>
    <r>
      <rPr>
        <b/>
        <sz val="8"/>
        <color theme="1"/>
        <rFont val="Calibri"/>
        <family val="2"/>
        <scheme val="minor"/>
      </rPr>
      <t xml:space="preserve">Total Households </t>
    </r>
    <r>
      <rPr>
        <sz val="8"/>
        <color theme="1"/>
        <rFont val="Calibri"/>
        <family val="2"/>
        <scheme val="minor"/>
      </rPr>
      <t>(Sum of Rows 4, 6, 8, 10, and 12 minus Row 14)</t>
    </r>
  </si>
  <si>
    <r>
      <rPr>
        <b/>
        <sz val="8"/>
        <color theme="1"/>
        <rFont val="Calibri"/>
        <family val="2"/>
        <scheme val="minor"/>
      </rPr>
      <t xml:space="preserve">Total Expenditures </t>
    </r>
    <r>
      <rPr>
        <sz val="8"/>
        <color theme="1"/>
        <rFont val="Calibri"/>
        <family val="2"/>
        <scheme val="minor"/>
      </rPr>
      <t>(Sum of Rows 5, 7, 9, 11, and 13)</t>
    </r>
  </si>
  <si>
    <t>Enter the number of waitlisted households by activity.</t>
  </si>
  <si>
    <t>Part 3</t>
  </si>
  <si>
    <t>Part 2</t>
  </si>
  <si>
    <t>Part 1</t>
  </si>
  <si>
    <t>Reporting Periods and Due Dates</t>
  </si>
  <si>
    <t>Sherman-Denison</t>
  </si>
  <si>
    <t>Tenant-Based Rental Assistance (TBRA)</t>
  </si>
  <si>
    <t>Short-Term Rent, Mortgage, and Utility (STRMU)</t>
  </si>
  <si>
    <t>Facility-Based Housing Assistance (FBHA)</t>
  </si>
  <si>
    <t>Permanent Housing Placement (PHP)</t>
  </si>
  <si>
    <t>Housing Case Management (HCM)</t>
  </si>
  <si>
    <t>Housing Information Services (HIS)</t>
  </si>
  <si>
    <t>Resource Identification (RI)</t>
  </si>
  <si>
    <t>Screening</t>
  </si>
  <si>
    <t>Did any households receive more than one type of housing assistance service?</t>
  </si>
  <si>
    <t>Did any households receive some combination of TBRA, FBHA, and/or PHP services?</t>
  </si>
  <si>
    <t>Did any households receive more than one type of any HOPWA service?</t>
  </si>
  <si>
    <t>Activities Undertaken</t>
  </si>
  <si>
    <t>09/01 – 02/28</t>
  </si>
  <si>
    <t>09/01 – 08/31 (Cumulative)</t>
  </si>
  <si>
    <t>03/31 (or closest business day)</t>
  </si>
  <si>
    <t>10/15 (or closest business day)</t>
  </si>
  <si>
    <t>Did the Project Sponsor encounter any barriers in the administration or implementation of the HOPWA program?</t>
  </si>
  <si>
    <t>Does the Project Sponsor currently have a waitlist for TBRA, STRMU, and/or FBHA services?</t>
  </si>
  <si>
    <t>Did any households that received any type of housing assistance service make rent payments (full or partial) to private owners during the program year?</t>
  </si>
  <si>
    <t>Households with eligible individuals who have shown an improved viral load or achieved viral suppression.</t>
  </si>
  <si>
    <t>e</t>
  </si>
  <si>
    <t>f</t>
  </si>
  <si>
    <t>Date Report Completed</t>
  </si>
  <si>
    <t>Period</t>
  </si>
  <si>
    <t>RI</t>
  </si>
  <si>
    <t>Admin</t>
  </si>
  <si>
    <t>Yes or No</t>
  </si>
  <si>
    <t>Data Entry Complete</t>
  </si>
  <si>
    <t>The Resource Group (TRG)</t>
  </si>
  <si>
    <t>South Texas Development Council (STDC)</t>
  </si>
  <si>
    <t>Dallas County Health and Human Services (DCHHS)</t>
  </si>
  <si>
    <t>Brazos Valley Council of Governments (BVCOG)</t>
  </si>
  <si>
    <t>Bexar County Hospital District DBA University Health (UH)</t>
  </si>
  <si>
    <t>Tarrant County Public Health (TCPH)</t>
  </si>
  <si>
    <r>
      <rPr>
        <b/>
        <sz val="8"/>
        <color rgb="FFC00000"/>
        <rFont val="Calibri"/>
        <family val="2"/>
        <scheme val="minor"/>
      </rPr>
      <t>NOTE:</t>
    </r>
    <r>
      <rPr>
        <sz val="8"/>
        <color rgb="FFC00000"/>
        <rFont val="Calibri"/>
        <family val="2"/>
        <scheme val="minor"/>
      </rPr>
      <t xml:space="preserve"> For Parts labeled </t>
    </r>
    <r>
      <rPr>
        <b/>
        <sz val="8"/>
        <color rgb="FF7030A0"/>
        <rFont val="Calibri"/>
        <family val="2"/>
        <scheme val="minor"/>
      </rPr>
      <t>(Annual)</t>
    </r>
    <r>
      <rPr>
        <sz val="8"/>
        <color rgb="FFC00000"/>
        <rFont val="Calibri"/>
        <family val="2"/>
        <scheme val="minor"/>
      </rPr>
      <t>, leave the Part blank on the Semi-Annual report and complete the Part on the Annual report.</t>
    </r>
  </si>
  <si>
    <r>
      <t xml:space="preserve">Demographics and Prior Living Situations </t>
    </r>
    <r>
      <rPr>
        <b/>
        <sz val="12"/>
        <color rgb="FF7030A0"/>
        <rFont val="Calibri"/>
        <family val="2"/>
        <scheme val="minor"/>
      </rPr>
      <t>(Annual)</t>
    </r>
  </si>
  <si>
    <r>
      <t xml:space="preserve">Sources of Leveraging and Program Income </t>
    </r>
    <r>
      <rPr>
        <b/>
        <sz val="12"/>
        <color rgb="FF7030A0"/>
        <rFont val="Calibri"/>
        <family val="2"/>
        <scheme val="minor"/>
      </rPr>
      <t>(Annual)</t>
    </r>
  </si>
  <si>
    <r>
      <t xml:space="preserve">Facility-Based Housing Assistance </t>
    </r>
    <r>
      <rPr>
        <b/>
        <sz val="12"/>
        <color rgb="FF7030A0"/>
        <rFont val="Calibri"/>
        <family val="2"/>
        <scheme val="minor"/>
      </rPr>
      <t>(Annual)</t>
    </r>
  </si>
  <si>
    <t>(P2) Annual</t>
  </si>
  <si>
    <t>Error</t>
  </si>
  <si>
    <t>Data Entry Missing</t>
  </si>
  <si>
    <t>Report Done?</t>
  </si>
  <si>
    <t>Page done?</t>
  </si>
  <si>
    <t>Data Entry Locations</t>
  </si>
  <si>
    <t>Adjust</t>
  </si>
  <si>
    <t>Multi $</t>
  </si>
  <si>
    <t>P1 Error</t>
  </si>
  <si>
    <t>P2 Error</t>
  </si>
  <si>
    <t>Selection</t>
  </si>
  <si>
    <t>Yes/No</t>
  </si>
  <si>
    <t>Entry Error</t>
  </si>
  <si>
    <t>Adjustment Error</t>
  </si>
  <si>
    <t>Applicable</t>
  </si>
  <si>
    <t>Did any households that received any type of HOPWA service have more than one household member (additional beneficiaries)?</t>
  </si>
  <si>
    <t>All HOPWA Services</t>
  </si>
  <si>
    <t>Adjustment for Duplication: All HOPWA Services (Subtract)</t>
  </si>
  <si>
    <t>For each HOPWA activity, enter the number of households served and funds expended per period. In each Row, enter an adjustment for households served in both P1 and P2.</t>
  </si>
  <si>
    <t>Enter adjustments for households served by more than one type of HOPWA activity.</t>
  </si>
  <si>
    <t>Did the Project Sponsor collect HOPWA program income during the program year?</t>
  </si>
  <si>
    <t>Did the Project Sponsor expend HOPWA program income during the program year?</t>
  </si>
  <si>
    <t>AB Race</t>
  </si>
  <si>
    <t>AB Eth</t>
  </si>
  <si>
    <t>ABs</t>
  </si>
  <si>
    <t>AB Race =</t>
  </si>
  <si>
    <t>AB Eth =</t>
  </si>
  <si>
    <t>Race = Eth Error</t>
  </si>
  <si>
    <t>Adjustment for Duplication: TBRA, FBHA, and/or PHP Services Only (Subtract)</t>
  </si>
  <si>
    <t>TBRA, FBHA, and/or PHP Services Only</t>
  </si>
  <si>
    <t>PLS</t>
  </si>
  <si>
    <t>Unduplicated Household Count: All HOPWA Services</t>
  </si>
  <si>
    <t>Unduplicated Household Count: TBRA, FBHA, and/or PHP Only</t>
  </si>
  <si>
    <t>Unduplicated Household Count: Housing Assistance Services Only</t>
  </si>
  <si>
    <t>PLS =</t>
  </si>
  <si>
    <t>Enter the number of eligible individuals and additional beneficiaries by HIV status served by any type of HOPWA activity.</t>
  </si>
  <si>
    <t>Enter the number of eligible individuals and additional beneficiaries by race, age, gender, and ethnicity served by any HOPWA activity.</t>
  </si>
  <si>
    <t>Homeless</t>
  </si>
  <si>
    <t>CH&gt;Homeless Error</t>
  </si>
  <si>
    <t>Rent payments (full or partial) made to private owners by households that received housing subsidy assistance</t>
  </si>
  <si>
    <t>Output</t>
  </si>
  <si>
    <t>Households that accessed and/or maintained other welfare assistance (SNAP, WIC, TANF, etc.).</t>
  </si>
  <si>
    <t>Households that accessed and/or maintained private disability insurance.</t>
  </si>
  <si>
    <t>Households that accessed and/or maintained veterans disability payment (service or non-service connected payment).</t>
  </si>
  <si>
    <t>Outcome &gt; Output Error</t>
  </si>
  <si>
    <t>Income Expended</t>
  </si>
  <si>
    <t>No Income Error</t>
  </si>
  <si>
    <t>If no households had income, output &lt;&gt; no income error</t>
  </si>
  <si>
    <r>
      <t xml:space="preserve">Part 5 Outcomes </t>
    </r>
    <r>
      <rPr>
        <b/>
        <sz val="12"/>
        <color rgb="FF7030A0"/>
        <rFont val="Calibri"/>
        <family val="2"/>
        <scheme val="minor"/>
      </rPr>
      <t>(Annual)</t>
    </r>
  </si>
  <si>
    <t>If no, should be 0 Error</t>
  </si>
  <si>
    <t>Section should be blank error</t>
  </si>
  <si>
    <t>Output minus new</t>
  </si>
  <si>
    <t>Output minus new error</t>
  </si>
  <si>
    <t>Output minus none</t>
  </si>
  <si>
    <t>Output minus none error</t>
  </si>
  <si>
    <t>Min income error</t>
  </si>
  <si>
    <t>One must be yes error</t>
  </si>
  <si>
    <t>HUD has set a national goal of at least 80 percent for each outcome measure in Rows 1-5. If any outcome measures did not reach 80 percent, briefly describe why in the field below.</t>
  </si>
  <si>
    <t>Income Error</t>
  </si>
  <si>
    <t>Health Error</t>
  </si>
  <si>
    <t>None</t>
  </si>
  <si>
    <t>Income</t>
  </si>
  <si>
    <t>Insurance</t>
  </si>
  <si>
    <t>Min</t>
  </si>
  <si>
    <t>Min had insurance</t>
  </si>
  <si>
    <t>Households that were terminated from the HOPWA program for a violation of program requirements or conditions of occupancy</t>
  </si>
  <si>
    <t>Households that received TBRA and/or TSH and transitioned to the Housing Choice Voucher Program or other affordable housing programs</t>
  </si>
  <si>
    <t>Households that received TBRA and/or TSH and received a rent standard increase</t>
  </si>
  <si>
    <t>Households that transitioned off of the TBRA waitlist and into TBRA services</t>
  </si>
  <si>
    <t>Households that transitioned off of the STRMU waitlist and into STRMU services</t>
  </si>
  <si>
    <t>Households that transitioned off of the FBHA waitlist and into FBHA services</t>
  </si>
  <si>
    <t>Households that received TBRA and/or TSH and requested a Violence Against Women Act (VAWA) Emergency Transfer</t>
  </si>
  <si>
    <t>Households that requested an internal emergency transfer</t>
  </si>
  <si>
    <t>Households whose internal emergency transfer request was granted</t>
  </si>
  <si>
    <t>Households that requested an external emergency transfer</t>
  </si>
  <si>
    <t>Households whose external emergency transfer request was granted</t>
  </si>
  <si>
    <t>Households whose internal/external emergency transfer request was denied</t>
  </si>
  <si>
    <t>Households that successfully secured and transferred to a new unit or safe space</t>
  </si>
  <si>
    <t>Households that received a grace period for surviving or remaining household members</t>
  </si>
  <si>
    <t>Households that filed a complaint or grievance against the Project Sponsor for discrimination, wrongful termination, breach of confidentiality, etc.</t>
  </si>
  <si>
    <t>if no not applic</t>
  </si>
  <si>
    <t>cannot exceed request</t>
  </si>
  <si>
    <t>cannot exceed internal request</t>
  </si>
  <si>
    <t>cannot exceed external request</t>
  </si>
  <si>
    <t>cannot be greater than undup household count</t>
  </si>
  <si>
    <t>cannot be greater than the sum of TBRA and TSH or undup household count, whichever is lower</t>
  </si>
  <si>
    <t>Internal/external v granted error</t>
  </si>
  <si>
    <t>request vs granted error</t>
  </si>
  <si>
    <t>Cap</t>
  </si>
  <si>
    <t>Outcome &gt; Cap Error</t>
  </si>
  <si>
    <t>One or the other</t>
  </si>
  <si>
    <t>Household</t>
  </si>
  <si>
    <t>Expenditure</t>
  </si>
  <si>
    <t>Both</t>
  </si>
  <si>
    <t>STSH Only</t>
  </si>
  <si>
    <t>TSH Only</t>
  </si>
  <si>
    <t>STSH Total</t>
  </si>
  <si>
    <t>TSH Total</t>
  </si>
  <si>
    <t>STSH Costs</t>
  </si>
  <si>
    <t>Hotel/Motel</t>
  </si>
  <si>
    <t>TSH Costs</t>
  </si>
  <si>
    <t xml:space="preserve">Project-Based </t>
  </si>
  <si>
    <t>Total Costs</t>
  </si>
  <si>
    <t>Adjust Error</t>
  </si>
  <si>
    <t>Leasing &gt; STSH Error</t>
  </si>
  <si>
    <t>Hotel/Motel &gt; STSH Error</t>
  </si>
  <si>
    <t>Master-Leasing &gt; TSH Error</t>
  </si>
  <si>
    <t>Project-Based &gt; TSH Error</t>
  </si>
  <si>
    <t>Operating &gt; FBHA Error</t>
  </si>
  <si>
    <t>Data present</t>
  </si>
  <si>
    <t>Data Missing</t>
  </si>
  <si>
    <t>If hotel/motel, HH must equal units in service.</t>
  </si>
  <si>
    <t>If hotel/motel, everything else must be blank</t>
  </si>
  <si>
    <t>At least one needs adjustment</t>
  </si>
  <si>
    <t>Adjustment, but not selected on coversheet</t>
  </si>
  <si>
    <t>Placed in service is no, but units greater than 0</t>
  </si>
  <si>
    <t>If STSH $ &gt; 0, then need $ under leasing, operating, or hotel/motel</t>
  </si>
  <si>
    <t>If TSH $ &gt;0, then need $ under operating, master-leasing, or project-based</t>
  </si>
  <si>
    <t>Total HH greater than FBHA output</t>
  </si>
  <si>
    <t>if hotel/motel, must be placed into service</t>
  </si>
  <si>
    <t>Leasing HH but no $ error</t>
  </si>
  <si>
    <t>operating HH but no $ error</t>
  </si>
  <si>
    <t>hotel/motel HH but no $ error</t>
  </si>
  <si>
    <t>Master-leasing HH but no $ error</t>
  </si>
  <si>
    <t>project-based HH but no $ error</t>
  </si>
  <si>
    <t>Did any households within a single facility receive more than one type of FBHA support?</t>
  </si>
  <si>
    <t>Not enough STSH HH</t>
  </si>
  <si>
    <t>Not enough TSH HH</t>
  </si>
  <si>
    <t>Deactivate Parts 3, 4, 5, and 6</t>
  </si>
  <si>
    <t>EIs</t>
  </si>
  <si>
    <t>EI Race</t>
  </si>
  <si>
    <t>EI Eth</t>
  </si>
  <si>
    <t>EI Race =</t>
  </si>
  <si>
    <t>EI Eth =</t>
  </si>
  <si>
    <t>Semi-Annual Data Entry Error</t>
  </si>
  <si>
    <t>Hotel/motel paid for by the household</t>
  </si>
  <si>
    <t>Households that received STRMU three or more times during the previous five STRMU eligibility periods.</t>
  </si>
  <si>
    <t>cannot be greater than all HOPWA services household count</t>
  </si>
  <si>
    <t>cannot be greater than total TBRA</t>
  </si>
  <si>
    <t>cannot be greater than total STRMU</t>
  </si>
  <si>
    <t>cannot be greater than total FBHA</t>
  </si>
  <si>
    <t>For example, if a household received Short-Term Rent, Mortgage, and Utility Assistance (STRMU), Permanent Housing Placement (PHP), and Tennant Based Rental Assistance (TBRA) during the program year, report that household in Part 2 in the following manner:</t>
  </si>
  <si>
    <t>Data entry locations</t>
  </si>
  <si>
    <t>Can't be greater than row 5</t>
  </si>
  <si>
    <t>Can't be lower than row 5</t>
  </si>
  <si>
    <t>EIR</t>
  </si>
  <si>
    <t>EIE</t>
  </si>
  <si>
    <t>ABR</t>
  </si>
  <si>
    <t>ABE</t>
  </si>
  <si>
    <t>Concat</t>
  </si>
  <si>
    <t>Semi</t>
  </si>
  <si>
    <t>Semi Error</t>
  </si>
  <si>
    <t>Semi error</t>
  </si>
  <si>
    <t>Outcome &gt; Output</t>
  </si>
  <si>
    <t>Income level</t>
  </si>
  <si>
    <t>Income adjusted for no income</t>
  </si>
  <si>
    <t>If all no income, then no income should equal total output</t>
  </si>
  <si>
    <t>If some had no income, then the remainder had to have income.</t>
  </si>
  <si>
    <t>Minimum HH w/income</t>
  </si>
  <si>
    <t>HH status</t>
  </si>
  <si>
    <t>Employment</t>
  </si>
  <si>
    <t>Employment Income Error</t>
  </si>
  <si>
    <t>Enter all expenditures</t>
  </si>
  <si>
    <t>Need STSH HHs</t>
  </si>
  <si>
    <t>Need TSH HHs</t>
  </si>
  <si>
    <t>Not enough STSH $</t>
  </si>
  <si>
    <t>Not enough TSH $</t>
  </si>
  <si>
    <t>P2 HH Error</t>
  </si>
  <si>
    <t>P2 $ Error</t>
  </si>
  <si>
    <t>Source</t>
  </si>
  <si>
    <t>Did the Project Sponsor leverage and expend any public or private funding or in-kind resources in support of the HOPWA program during the program year?</t>
  </si>
  <si>
    <t>Enter the sources of leveraged public and private funding or in-kind resources expended by the Project Sponsor in support of the HOPWA program during the program year. Enter the amount of program income collected and expended on housing assistance and other support. Enter the total amount of rent that households paid directly to private landlords.</t>
  </si>
  <si>
    <t>19 can't be lower than higher of 6 and 11</t>
  </si>
  <si>
    <t>Other Reportable Items</t>
  </si>
  <si>
    <t>?</t>
  </si>
  <si>
    <t>P1: Confirm that the adjustments for duplication on Rows 5, 10, and 18 are correct.</t>
  </si>
  <si>
    <t>P2: Confirm that the adjustments for duplication on Rows 5, 10, and 18 are correct.</t>
  </si>
  <si>
    <t>Short-Term Supportive Housing (STSH) only</t>
  </si>
  <si>
    <t>Transitional Supportive Housing (TSH) only</t>
  </si>
  <si>
    <t>Households offered TBRA that searched for a unit, but ultimately went unserved because of barriers to accessing rental assistance</t>
  </si>
  <si>
    <t>Min longevity error</t>
  </si>
  <si>
    <t>Longevity min</t>
  </si>
  <si>
    <t>No rent payments error</t>
  </si>
  <si>
    <t>No rent to owner</t>
  </si>
  <si>
    <t>Confirm program income expended is correct (Row 21).</t>
  </si>
  <si>
    <t>Confirm program income collected is correct (Row 18).</t>
  </si>
  <si>
    <t>Confirm sources of leveraging is correct (Row 15).</t>
  </si>
  <si>
    <t>Confirm household rent payments to private owners is correct (Row 22).</t>
  </si>
  <si>
    <r>
      <rPr>
        <b/>
        <u/>
        <sz val="8"/>
        <color theme="1"/>
        <rFont val="Calibri"/>
        <family val="2"/>
        <scheme val="minor"/>
      </rPr>
      <t>Program Year</t>
    </r>
    <r>
      <rPr>
        <sz val="8"/>
        <color theme="1"/>
        <rFont val="Calibri"/>
        <family val="2"/>
        <scheme val="minor"/>
      </rPr>
      <t xml:space="preserve">
The information contained in this PPR covers the DSHS HOPWA Program year, which begins 09/01 and ends 08/31. Project Sponsor accomplishment information must coincide with this program year period. Any change requires the approval of HUD by amendment, such as an extension for one additional year of operation. A renewal grant start date would be coordinated with the close out of the existing grant.</t>
    </r>
  </si>
  <si>
    <t>Households with eligible individuals who have ever had an antiretroviral therapy (ART) prescription.</t>
  </si>
  <si>
    <t>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</si>
</sst>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x14ac:knownFonts="1">
    <font>
      <sz val="12"/>
      <color theme="1"/>
      <name val="Verdana"/>
      <family val="2"/>
    </font>
    <font>
      <sz val="12"/>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u/>
      <sz val="8"/>
      <color theme="1"/>
      <name val="Calibri"/>
      <family val="2"/>
      <scheme val="minor"/>
    </font>
    <font>
      <sz val="8"/>
      <color rgb="FFC00000"/>
      <name val="Calibri"/>
      <family val="2"/>
      <scheme val="minor"/>
    </font>
    <font>
      <b/>
      <sz val="8"/>
      <color rgb="FFC00000"/>
      <name val="Calibri"/>
      <family val="2"/>
      <scheme val="minor"/>
    </font>
    <font>
      <i/>
      <sz val="8"/>
      <color theme="1"/>
      <name val="Calibri"/>
      <family val="2"/>
      <scheme val="minor"/>
    </font>
    <font>
      <b/>
      <sz val="10"/>
      <color theme="1"/>
      <name val="Calibri"/>
      <family val="2"/>
      <scheme val="minor"/>
    </font>
    <font>
      <b/>
      <sz val="12"/>
      <color theme="1"/>
      <name val="Calibri"/>
      <family val="2"/>
      <scheme val="minor"/>
    </font>
    <font>
      <sz val="9"/>
      <color rgb="FFC00000"/>
      <name val="Calibri"/>
      <family val="2"/>
      <scheme val="minor"/>
    </font>
    <font>
      <b/>
      <sz val="9"/>
      <color rgb="FFC00000"/>
      <name val="Calibri"/>
      <family val="2"/>
      <scheme val="minor"/>
    </font>
    <font>
      <b/>
      <sz val="12"/>
      <color rgb="FF7030A0"/>
      <name val="Calibri"/>
      <family val="2"/>
      <scheme val="minor"/>
    </font>
    <font>
      <b/>
      <sz val="14"/>
      <color theme="1"/>
      <name val="Rockwell"/>
      <family val="1"/>
    </font>
    <font>
      <b/>
      <sz val="8"/>
      <color rgb="FF7030A0"/>
      <name val="Calibri"/>
      <family val="2"/>
      <scheme val="minor"/>
    </font>
    <font>
      <u/>
      <sz val="12"/>
      <color theme="10"/>
      <name val="Verdana"/>
      <family val="2"/>
    </font>
    <font>
      <sz val="8"/>
      <color theme="0" tint="-0.499984740745262"/>
      <name val="Calibri"/>
      <family val="2"/>
      <scheme val="minor"/>
    </font>
    <font>
      <sz val="10"/>
      <color theme="1"/>
      <name val="Verdana"/>
      <family val="2"/>
    </font>
    <font>
      <sz val="8"/>
      <color theme="1"/>
      <name val="Verdana"/>
      <family val="2"/>
    </font>
    <font>
      <b/>
      <sz val="8"/>
      <color theme="0"/>
      <name val="Calibri"/>
      <family val="2"/>
      <scheme val="minor"/>
    </font>
    <font>
      <sz val="10"/>
      <color rgb="FFC00000"/>
      <name val="Calibri"/>
      <family val="2"/>
      <scheme val="minor"/>
    </font>
    <font>
      <b/>
      <sz val="8"/>
      <color theme="1"/>
      <name val="Verdana"/>
      <family val="2"/>
    </font>
    <font>
      <sz val="12"/>
      <color theme="1"/>
      <name val="Verdana"/>
      <family val="2"/>
    </font>
    <font>
      <sz val="8"/>
      <name val="Calibri"/>
      <family val="2"/>
      <scheme val="minor"/>
    </font>
    <font>
      <i/>
      <sz val="12"/>
      <color theme="1"/>
      <name val="Calibri"/>
      <family val="2"/>
      <scheme val="minor"/>
    </font>
    <font>
      <b/>
      <sz val="10"/>
      <color theme="0" tint="-0.499984740745262"/>
      <name val="Calibri"/>
      <family val="2"/>
      <scheme val="minor"/>
    </font>
  </fonts>
  <fills count="29">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E699"/>
        <bgColor indexed="64"/>
      </patternFill>
    </fill>
    <fill>
      <patternFill patternType="solid">
        <fgColor rgb="FFCADBD7"/>
        <bgColor indexed="64"/>
      </patternFill>
    </fill>
    <fill>
      <patternFill patternType="solid">
        <fgColor theme="3"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8DB4E2"/>
        <bgColor indexed="64"/>
      </patternFill>
    </fill>
    <fill>
      <patternFill patternType="solid">
        <fgColor rgb="FFC4BD97"/>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B050"/>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style="thin">
        <color theme="4" tint="0.39997558519241921"/>
      </right>
      <top/>
      <bottom/>
      <diagonal/>
    </border>
    <border>
      <left style="thin">
        <color theme="0"/>
      </left>
      <right style="thin">
        <color theme="0"/>
      </right>
      <top/>
      <bottom/>
      <diagonal/>
    </border>
    <border>
      <left style="thin">
        <color theme="4" tint="0.39997558519241921"/>
      </left>
      <right/>
      <top style="thin">
        <color theme="4" tint="0.39997558519241921"/>
      </top>
      <bottom/>
      <diagonal/>
    </border>
    <border>
      <left style="thin">
        <color theme="0"/>
      </left>
      <right style="thin">
        <color theme="4" tint="0.39997558519241921"/>
      </right>
      <top style="thin">
        <color theme="4" tint="0.39997558519241921"/>
      </top>
      <bottom style="thin">
        <color theme="4" tint="0.39997558519241921"/>
      </bottom>
      <diagonal/>
    </border>
    <border>
      <left style="thin">
        <color theme="0"/>
      </left>
      <right style="thin">
        <color theme="4" tint="0.39997558519241921"/>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6" fillId="0" borderId="0" applyNumberFormat="0" applyFill="0" applyBorder="0" applyAlignment="0" applyProtection="0"/>
    <xf numFmtId="9" fontId="23" fillId="0" borderId="0" applyFont="0" applyFill="0" applyBorder="0" applyAlignment="0" applyProtection="0"/>
  </cellStyleXfs>
  <cellXfs count="412">
    <xf numFmtId="0" fontId="0" fillId="0" borderId="0" xfId="0"/>
    <xf numFmtId="0" fontId="3" fillId="0" borderId="0" xfId="0" applyFont="1" applyProtection="1"/>
    <xf numFmtId="0" fontId="1" fillId="0" borderId="0" xfId="0" applyFont="1" applyProtection="1"/>
    <xf numFmtId="0" fontId="9" fillId="0" borderId="0" xfId="0" applyFont="1" applyProtection="1"/>
    <xf numFmtId="0" fontId="2" fillId="0" borderId="0" xfId="0" applyFont="1" applyProtection="1"/>
    <xf numFmtId="0" fontId="2" fillId="0" borderId="0" xfId="0" applyFont="1" applyFill="1" applyBorder="1" applyAlignment="1" applyProtection="1">
      <alignment horizontal="left" vertical="top" wrapText="1"/>
    </xf>
    <xf numFmtId="0" fontId="2" fillId="0" borderId="0" xfId="0" applyFont="1" applyFill="1" applyBorder="1" applyAlignment="1" applyProtection="1"/>
    <xf numFmtId="0" fontId="2" fillId="0" borderId="0" xfId="0" applyFont="1" applyFill="1" applyBorder="1" applyProtection="1"/>
    <xf numFmtId="0" fontId="2" fillId="0" borderId="0" xfId="0" applyFont="1" applyFill="1" applyBorder="1" applyAlignment="1" applyProtection="1">
      <alignment horizontal="right" vertical="top"/>
    </xf>
    <xf numFmtId="0" fontId="2" fillId="0" borderId="0" xfId="0" applyFont="1" applyFill="1" applyBorder="1" applyAlignment="1" applyProtection="1">
      <alignment vertical="top" wrapText="1"/>
    </xf>
    <xf numFmtId="0" fontId="2" fillId="0" borderId="0" xfId="0" applyFont="1" applyFill="1" applyProtection="1"/>
    <xf numFmtId="0" fontId="10" fillId="0" borderId="0" xfId="0" applyFont="1" applyProtection="1"/>
    <xf numFmtId="0" fontId="9" fillId="0" borderId="0" xfId="0" applyFont="1" applyAlignment="1" applyProtection="1"/>
    <xf numFmtId="0" fontId="3" fillId="0" borderId="0" xfId="0" applyFont="1" applyAlignment="1" applyProtection="1"/>
    <xf numFmtId="0" fontId="4" fillId="11" borderId="5" xfId="0" applyFont="1" applyFill="1" applyBorder="1" applyProtection="1"/>
    <xf numFmtId="0" fontId="4" fillId="11" borderId="6" xfId="0" applyFont="1" applyFill="1" applyBorder="1" applyProtection="1"/>
    <xf numFmtId="0" fontId="4" fillId="11" borderId="8" xfId="0" applyFont="1" applyFill="1" applyBorder="1" applyProtection="1"/>
    <xf numFmtId="0" fontId="2" fillId="11" borderId="9" xfId="0" applyFont="1" applyFill="1" applyBorder="1" applyProtection="1"/>
    <xf numFmtId="0" fontId="2" fillId="11" borderId="10" xfId="0" applyFont="1" applyFill="1" applyBorder="1" applyProtection="1"/>
    <xf numFmtId="0" fontId="10" fillId="0" borderId="0" xfId="0" applyFont="1" applyBorder="1" applyProtection="1"/>
    <xf numFmtId="0" fontId="10" fillId="0" borderId="0" xfId="0" applyFont="1" applyBorder="1" applyAlignment="1" applyProtection="1">
      <alignment horizontal="left"/>
    </xf>
    <xf numFmtId="0" fontId="4" fillId="12" borderId="6" xfId="0" applyFont="1" applyFill="1" applyBorder="1" applyProtection="1"/>
    <xf numFmtId="0" fontId="2" fillId="12" borderId="6" xfId="0" applyFont="1" applyFill="1" applyBorder="1" applyProtection="1"/>
    <xf numFmtId="0" fontId="2" fillId="12" borderId="3" xfId="0" applyFont="1" applyFill="1" applyBorder="1" applyProtection="1"/>
    <xf numFmtId="0" fontId="2" fillId="12" borderId="4" xfId="0" applyFont="1" applyFill="1" applyBorder="1" applyProtection="1"/>
    <xf numFmtId="0" fontId="2" fillId="12" borderId="11" xfId="0" applyFont="1" applyFill="1" applyBorder="1" applyProtection="1"/>
    <xf numFmtId="0" fontId="4" fillId="12" borderId="0" xfId="0" applyFont="1" applyFill="1" applyBorder="1" applyProtection="1"/>
    <xf numFmtId="0" fontId="2" fillId="12" borderId="0" xfId="0" applyFont="1" applyFill="1" applyBorder="1" applyProtection="1"/>
    <xf numFmtId="0" fontId="2" fillId="11" borderId="3" xfId="0" applyFont="1" applyFill="1" applyBorder="1" applyProtection="1"/>
    <xf numFmtId="0" fontId="2" fillId="11" borderId="4" xfId="0" applyFont="1" applyFill="1" applyBorder="1" applyProtection="1"/>
    <xf numFmtId="0" fontId="2" fillId="12" borderId="7" xfId="0" applyFont="1" applyFill="1" applyBorder="1" applyProtection="1"/>
    <xf numFmtId="0" fontId="2" fillId="12" borderId="12" xfId="0" applyFont="1" applyFill="1" applyBorder="1" applyProtection="1"/>
    <xf numFmtId="0" fontId="2" fillId="10" borderId="5" xfId="0" applyFont="1" applyFill="1" applyBorder="1" applyProtection="1"/>
    <xf numFmtId="0" fontId="4" fillId="12" borderId="3" xfId="0" applyFont="1" applyFill="1" applyBorder="1" applyProtection="1"/>
    <xf numFmtId="0" fontId="2" fillId="12" borderId="9" xfId="0" applyFont="1" applyFill="1" applyBorder="1" applyProtection="1"/>
    <xf numFmtId="0" fontId="2" fillId="12" borderId="10" xfId="0" applyFont="1" applyFill="1" applyBorder="1" applyProtection="1"/>
    <xf numFmtId="0" fontId="2" fillId="10" borderId="8" xfId="0" applyFont="1" applyFill="1" applyBorder="1" applyProtection="1"/>
    <xf numFmtId="0" fontId="2" fillId="10" borderId="2" xfId="0" applyFont="1" applyFill="1" applyBorder="1" applyAlignment="1" applyProtection="1">
      <alignment horizontal="right" vertical="top"/>
    </xf>
    <xf numFmtId="0" fontId="4" fillId="11" borderId="3" xfId="0" applyFont="1" applyFill="1" applyBorder="1" applyAlignment="1" applyProtection="1">
      <alignment horizontal="left" vertical="top"/>
    </xf>
    <xf numFmtId="0" fontId="4" fillId="12" borderId="5" xfId="0" applyFont="1" applyFill="1" applyBorder="1" applyProtection="1"/>
    <xf numFmtId="0" fontId="4" fillId="12" borderId="8" xfId="0" applyFont="1" applyFill="1" applyBorder="1" applyProtection="1"/>
    <xf numFmtId="0" fontId="4" fillId="12" borderId="9" xfId="0" applyFont="1" applyFill="1" applyBorder="1" applyProtection="1"/>
    <xf numFmtId="0" fontId="4" fillId="12" borderId="11" xfId="0" applyFont="1" applyFill="1" applyBorder="1" applyProtection="1"/>
    <xf numFmtId="0" fontId="3" fillId="14" borderId="0" xfId="0" applyFont="1" applyFill="1" applyAlignment="1" applyProtection="1">
      <alignment horizontal="left" vertical="top" wrapText="1"/>
    </xf>
    <xf numFmtId="0" fontId="2" fillId="14" borderId="0" xfId="0" applyFont="1" applyFill="1" applyAlignment="1" applyProtection="1">
      <alignment horizontal="left" vertical="top" wrapText="1"/>
    </xf>
    <xf numFmtId="0" fontId="2" fillId="7" borderId="1" xfId="0" applyFont="1" applyFill="1" applyBorder="1" applyAlignment="1" applyProtection="1"/>
    <xf numFmtId="0" fontId="2" fillId="6" borderId="1" xfId="0" applyFont="1" applyFill="1" applyBorder="1" applyAlignment="1" applyProtection="1"/>
    <xf numFmtId="0" fontId="2" fillId="8" borderId="2" xfId="0" applyFont="1" applyFill="1" applyBorder="1" applyAlignment="1" applyProtection="1"/>
    <xf numFmtId="0" fontId="2" fillId="2" borderId="2" xfId="0" applyFont="1" applyFill="1" applyBorder="1" applyAlignment="1" applyProtection="1"/>
    <xf numFmtId="0" fontId="1" fillId="0" borderId="0" xfId="0" applyNumberFormat="1" applyFont="1" applyProtection="1"/>
    <xf numFmtId="0" fontId="2" fillId="9" borderId="2" xfId="0" applyFont="1" applyFill="1" applyBorder="1" applyAlignment="1" applyProtection="1"/>
    <xf numFmtId="0" fontId="2" fillId="16" borderId="2" xfId="0" applyFont="1" applyFill="1" applyBorder="1" applyAlignment="1" applyProtection="1"/>
    <xf numFmtId="0" fontId="2" fillId="0" borderId="0" xfId="0" applyFont="1" applyBorder="1" applyProtection="1"/>
    <xf numFmtId="0" fontId="2" fillId="0" borderId="0" xfId="0" applyFont="1" applyAlignment="1" applyProtection="1">
      <alignment horizontal="right"/>
    </xf>
    <xf numFmtId="0" fontId="2" fillId="10" borderId="10" xfId="0" applyFont="1" applyFill="1" applyBorder="1" applyProtection="1"/>
    <xf numFmtId="0" fontId="2" fillId="10" borderId="12" xfId="0" applyFont="1" applyFill="1" applyBorder="1" applyProtection="1"/>
    <xf numFmtId="0" fontId="4" fillId="11" borderId="2" xfId="0" applyFont="1" applyFill="1" applyBorder="1" applyProtection="1"/>
    <xf numFmtId="0" fontId="2" fillId="10" borderId="6" xfId="0" applyFont="1" applyFill="1" applyBorder="1" applyProtection="1"/>
    <xf numFmtId="0" fontId="2" fillId="10" borderId="7" xfId="0" applyFont="1" applyFill="1" applyBorder="1" applyProtection="1"/>
    <xf numFmtId="0" fontId="2" fillId="10" borderId="9" xfId="0" applyFont="1" applyFill="1" applyBorder="1" applyProtection="1"/>
    <xf numFmtId="0" fontId="2" fillId="12" borderId="2" xfId="0" applyFont="1" applyFill="1" applyBorder="1" applyAlignment="1" applyProtection="1">
      <alignment horizontal="centerContinuous"/>
    </xf>
    <xf numFmtId="0" fontId="2" fillId="12" borderId="3" xfId="0" applyFont="1" applyFill="1" applyBorder="1" applyAlignment="1" applyProtection="1">
      <alignment horizontal="centerContinuous"/>
    </xf>
    <xf numFmtId="0" fontId="2" fillId="12" borderId="4" xfId="0" applyFont="1" applyFill="1" applyBorder="1" applyAlignment="1" applyProtection="1">
      <alignment horizontal="centerContinuous"/>
    </xf>
    <xf numFmtId="0" fontId="2" fillId="12" borderId="5" xfId="0" applyFont="1" applyFill="1" applyBorder="1" applyAlignment="1" applyProtection="1">
      <alignment horizontal="centerContinuous"/>
    </xf>
    <xf numFmtId="0" fontId="2" fillId="12" borderId="7" xfId="0" applyFont="1" applyFill="1" applyBorder="1" applyAlignment="1" applyProtection="1">
      <alignment horizontal="centerContinuous"/>
    </xf>
    <xf numFmtId="0" fontId="2" fillId="12" borderId="10" xfId="0" applyFont="1" applyFill="1" applyBorder="1" applyAlignment="1" applyProtection="1">
      <alignment textRotation="90"/>
    </xf>
    <xf numFmtId="0" fontId="2" fillId="12" borderId="4" xfId="0" applyFont="1" applyFill="1" applyBorder="1" applyAlignment="1" applyProtection="1">
      <alignment textRotation="90"/>
    </xf>
    <xf numFmtId="0" fontId="2" fillId="12" borderId="6" xfId="0" applyFont="1" applyFill="1" applyBorder="1" applyAlignment="1" applyProtection="1">
      <alignment horizontal="centerContinuous"/>
    </xf>
    <xf numFmtId="0" fontId="2" fillId="12" borderId="9" xfId="0" applyFont="1" applyFill="1" applyBorder="1" applyAlignment="1" applyProtection="1">
      <alignment textRotation="90"/>
    </xf>
    <xf numFmtId="0" fontId="2" fillId="12" borderId="2" xfId="0" applyFont="1" applyFill="1" applyBorder="1" applyAlignment="1" applyProtection="1">
      <alignment textRotation="90"/>
    </xf>
    <xf numFmtId="0" fontId="2" fillId="12" borderId="3" xfId="0" applyFont="1" applyFill="1" applyBorder="1" applyAlignment="1" applyProtection="1">
      <alignment textRotation="90"/>
    </xf>
    <xf numFmtId="0" fontId="4" fillId="12" borderId="2" xfId="0" applyFont="1" applyFill="1" applyBorder="1" applyAlignment="1" applyProtection="1">
      <alignment horizontal="centerContinuous"/>
    </xf>
    <xf numFmtId="0" fontId="4" fillId="12" borderId="5" xfId="0" applyFont="1" applyFill="1" applyBorder="1" applyAlignment="1" applyProtection="1">
      <alignment horizontal="centerContinuous"/>
    </xf>
    <xf numFmtId="0" fontId="3" fillId="0" borderId="0" xfId="0" applyFont="1" applyAlignment="1" applyProtection="1">
      <alignment horizontal="left" vertical="top"/>
    </xf>
    <xf numFmtId="0" fontId="4" fillId="11" borderId="3" xfId="0" applyFont="1" applyFill="1" applyBorder="1" applyProtection="1"/>
    <xf numFmtId="0" fontId="2" fillId="0" borderId="3" xfId="0" applyFont="1" applyBorder="1" applyProtection="1"/>
    <xf numFmtId="0" fontId="4" fillId="11" borderId="6" xfId="0" applyFont="1" applyFill="1" applyBorder="1" applyAlignment="1" applyProtection="1">
      <alignment horizontal="centerContinuous"/>
    </xf>
    <xf numFmtId="0" fontId="4" fillId="11" borderId="7" xfId="0" applyFont="1" applyFill="1" applyBorder="1" applyAlignment="1" applyProtection="1">
      <alignment horizontal="centerContinuous"/>
    </xf>
    <xf numFmtId="0" fontId="2" fillId="10" borderId="3" xfId="0" applyFont="1" applyFill="1" applyBorder="1" applyAlignment="1" applyProtection="1">
      <alignment horizontal="left"/>
    </xf>
    <xf numFmtId="0" fontId="4" fillId="12" borderId="2" xfId="0" applyFont="1" applyFill="1" applyBorder="1" applyProtection="1"/>
    <xf numFmtId="0" fontId="4" fillId="11" borderId="3" xfId="0" applyFont="1" applyFill="1" applyBorder="1" applyAlignment="1" applyProtection="1">
      <alignment horizontal="centerContinuous"/>
    </xf>
    <xf numFmtId="0" fontId="4" fillId="11" borderId="4" xfId="0" applyFont="1" applyFill="1" applyBorder="1" applyAlignment="1" applyProtection="1">
      <alignment horizontal="centerContinuous"/>
    </xf>
    <xf numFmtId="0" fontId="14" fillId="0" borderId="0" xfId="0" applyFont="1" applyAlignment="1" applyProtection="1">
      <alignment horizontal="centerContinuous"/>
    </xf>
    <xf numFmtId="0" fontId="10" fillId="0" borderId="0" xfId="0" applyFont="1" applyAlignment="1" applyProtection="1">
      <alignment horizontal="centerContinuous"/>
    </xf>
    <xf numFmtId="0" fontId="2" fillId="13" borderId="3" xfId="0" applyFont="1" applyFill="1" applyBorder="1" applyProtection="1"/>
    <xf numFmtId="0" fontId="2" fillId="13" borderId="4" xfId="0" applyFont="1" applyFill="1" applyBorder="1" applyProtection="1"/>
    <xf numFmtId="0" fontId="4" fillId="12" borderId="5" xfId="0" applyFont="1" applyFill="1" applyBorder="1" applyAlignment="1" applyProtection="1">
      <alignment horizontal="left" vertical="top"/>
    </xf>
    <xf numFmtId="0" fontId="4" fillId="12" borderId="6" xfId="0" applyFont="1" applyFill="1" applyBorder="1" applyAlignment="1" applyProtection="1">
      <alignment horizontal="left" vertical="top"/>
    </xf>
    <xf numFmtId="0" fontId="4" fillId="12" borderId="5" xfId="0" applyFont="1" applyFill="1" applyBorder="1" applyAlignment="1" applyProtection="1"/>
    <xf numFmtId="0" fontId="2" fillId="10" borderId="3" xfId="0" applyFont="1" applyFill="1" applyBorder="1" applyAlignment="1" applyProtection="1">
      <alignment horizontal="left" vertical="top" wrapText="1"/>
    </xf>
    <xf numFmtId="0" fontId="3" fillId="0" borderId="0" xfId="0" applyFont="1" applyAlignment="1" applyProtection="1">
      <alignment horizontal="right"/>
    </xf>
    <xf numFmtId="0" fontId="21" fillId="0" borderId="0" xfId="0" applyFont="1" applyFill="1" applyAlignment="1" applyProtection="1">
      <alignment horizontal="left" vertical="top" wrapText="1"/>
    </xf>
    <xf numFmtId="0" fontId="4" fillId="11" borderId="2" xfId="0" applyFont="1" applyFill="1" applyBorder="1" applyAlignment="1" applyProtection="1">
      <alignment horizontal="left" vertical="top"/>
    </xf>
    <xf numFmtId="0" fontId="2" fillId="11" borderId="3" xfId="0" applyFont="1" applyFill="1" applyBorder="1" applyAlignment="1" applyProtection="1"/>
    <xf numFmtId="0" fontId="2" fillId="11" borderId="4" xfId="0" applyFont="1" applyFill="1" applyBorder="1" applyAlignment="1" applyProtection="1"/>
    <xf numFmtId="0" fontId="2" fillId="10" borderId="3" xfId="0" applyFont="1" applyFill="1" applyBorder="1" applyAlignment="1" applyProtection="1">
      <alignment horizontal="left" vertical="top"/>
    </xf>
    <xf numFmtId="0" fontId="4" fillId="12" borderId="3" xfId="0" applyFont="1" applyFill="1" applyBorder="1" applyAlignment="1" applyProtection="1">
      <alignment horizontal="centerContinuous"/>
    </xf>
    <xf numFmtId="0" fontId="4" fillId="12" borderId="4" xfId="0" applyFont="1" applyFill="1" applyBorder="1" applyAlignment="1" applyProtection="1">
      <alignment horizontal="centerContinuous"/>
    </xf>
    <xf numFmtId="0" fontId="4" fillId="12" borderId="3" xfId="0" applyFont="1" applyFill="1" applyBorder="1" applyAlignment="1" applyProtection="1">
      <alignment horizontal="center"/>
    </xf>
    <xf numFmtId="0" fontId="4" fillId="12" borderId="6" xfId="0" applyFont="1" applyFill="1" applyBorder="1" applyAlignment="1" applyProtection="1">
      <alignment horizontal="center"/>
    </xf>
    <xf numFmtId="0" fontId="4" fillId="12" borderId="6" xfId="0" applyFont="1" applyFill="1" applyBorder="1" applyAlignment="1" applyProtection="1">
      <alignment horizontal="centerContinuous"/>
    </xf>
    <xf numFmtId="0" fontId="4" fillId="12" borderId="3" xfId="0" applyFont="1" applyFill="1" applyBorder="1" applyAlignment="1" applyProtection="1">
      <alignment horizontal="left" vertical="top"/>
    </xf>
    <xf numFmtId="0" fontId="4" fillId="10" borderId="3" xfId="0" applyFont="1" applyFill="1" applyBorder="1" applyAlignment="1" applyProtection="1">
      <alignment horizontal="left" vertical="top"/>
    </xf>
    <xf numFmtId="0" fontId="4" fillId="12" borderId="5" xfId="0" applyFont="1" applyFill="1" applyBorder="1" applyAlignment="1" applyProtection="1">
      <alignment horizontal="left"/>
    </xf>
    <xf numFmtId="164" fontId="4" fillId="13" borderId="2" xfId="0" applyNumberFormat="1" applyFont="1" applyFill="1" applyBorder="1" applyProtection="1"/>
    <xf numFmtId="164" fontId="4" fillId="13" borderId="3" xfId="0" applyNumberFormat="1" applyFont="1" applyFill="1" applyBorder="1" applyProtection="1"/>
    <xf numFmtId="164" fontId="4" fillId="13" borderId="4" xfId="0" applyNumberFormat="1" applyFont="1" applyFill="1" applyBorder="1" applyProtection="1"/>
    <xf numFmtId="0" fontId="4" fillId="13" borderId="3" xfId="0" applyFont="1" applyFill="1" applyBorder="1" applyAlignment="1" applyProtection="1">
      <alignment horizontal="left" vertical="top"/>
    </xf>
    <xf numFmtId="164" fontId="2" fillId="0" borderId="0" xfId="0" applyNumberFormat="1" applyFont="1" applyFill="1" applyBorder="1" applyProtection="1"/>
    <xf numFmtId="0" fontId="2" fillId="0" borderId="0" xfId="0" applyFont="1" applyFill="1" applyBorder="1" applyAlignment="1" applyProtection="1">
      <alignment horizontal="left" vertical="top"/>
    </xf>
    <xf numFmtId="164" fontId="2" fillId="0" borderId="0" xfId="0" applyNumberFormat="1" applyFont="1" applyFill="1" applyBorder="1" applyAlignment="1" applyProtection="1">
      <alignment horizontal="right" vertical="top"/>
    </xf>
    <xf numFmtId="0" fontId="2" fillId="0" borderId="0" xfId="0" applyFont="1" applyFill="1" applyBorder="1" applyAlignment="1" applyProtection="1">
      <alignment vertical="top"/>
    </xf>
    <xf numFmtId="0" fontId="2" fillId="11" borderId="3" xfId="0" applyFont="1" applyFill="1" applyBorder="1" applyAlignment="1" applyProtection="1">
      <alignment horizontal="centerContinuous"/>
    </xf>
    <xf numFmtId="0" fontId="2" fillId="11" borderId="4" xfId="0" applyFont="1" applyFill="1" applyBorder="1" applyAlignment="1" applyProtection="1">
      <alignment horizontal="centerContinuous"/>
    </xf>
    <xf numFmtId="0" fontId="2" fillId="12" borderId="3" xfId="0" applyFont="1" applyFill="1" applyBorder="1" applyAlignment="1" applyProtection="1">
      <alignment horizontal="left" vertical="top" wrapText="1"/>
    </xf>
    <xf numFmtId="0" fontId="4" fillId="12" borderId="4" xfId="0" applyFont="1" applyFill="1" applyBorder="1" applyAlignment="1" applyProtection="1">
      <alignment horizontal="right"/>
    </xf>
    <xf numFmtId="0" fontId="4" fillId="12" borderId="2" xfId="0" applyFont="1" applyFill="1" applyBorder="1" applyAlignment="1" applyProtection="1">
      <alignment horizontal="right"/>
    </xf>
    <xf numFmtId="0" fontId="4" fillId="12" borderId="3" xfId="0" applyFont="1" applyFill="1" applyBorder="1" applyAlignment="1" applyProtection="1">
      <alignment horizontal="right"/>
    </xf>
    <xf numFmtId="0" fontId="2" fillId="3" borderId="14" xfId="0" applyFont="1" applyFill="1" applyBorder="1" applyProtection="1"/>
    <xf numFmtId="0" fontId="4" fillId="11" borderId="4" xfId="0" applyFont="1" applyFill="1" applyBorder="1" applyProtection="1"/>
    <xf numFmtId="0" fontId="2" fillId="0" borderId="0" xfId="0" applyNumberFormat="1" applyFont="1" applyFill="1" applyBorder="1" applyProtection="1"/>
    <xf numFmtId="0" fontId="2" fillId="0" borderId="0" xfId="0" applyNumberFormat="1" applyFont="1" applyFill="1" applyBorder="1" applyAlignment="1" applyProtection="1">
      <alignment horizontal="left" vertical="top" wrapText="1"/>
    </xf>
    <xf numFmtId="0" fontId="2" fillId="13" borderId="2" xfId="0" applyFont="1" applyFill="1" applyBorder="1" applyProtection="1"/>
    <xf numFmtId="0" fontId="4" fillId="11" borderId="3" xfId="0" applyFont="1" applyFill="1" applyBorder="1" applyAlignment="1" applyProtection="1">
      <alignment horizontal="right"/>
    </xf>
    <xf numFmtId="0" fontId="4" fillId="11" borderId="4" xfId="0" applyFont="1" applyFill="1" applyBorder="1" applyAlignment="1" applyProtection="1">
      <alignment horizontal="right"/>
    </xf>
    <xf numFmtId="0" fontId="4" fillId="11" borderId="2" xfId="0" applyFont="1" applyFill="1" applyBorder="1" applyAlignment="1" applyProtection="1">
      <alignment horizontal="left"/>
    </xf>
    <xf numFmtId="0" fontId="4" fillId="11" borderId="3" xfId="0" applyFont="1" applyFill="1" applyBorder="1" applyAlignment="1" applyProtection="1">
      <alignment horizontal="left"/>
    </xf>
    <xf numFmtId="0" fontId="2" fillId="17" borderId="0" xfId="0" applyFont="1" applyFill="1" applyProtection="1"/>
    <xf numFmtId="0" fontId="2" fillId="12" borderId="3"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2" fillId="10" borderId="9" xfId="0" applyFont="1" applyFill="1" applyBorder="1" applyAlignment="1" applyProtection="1">
      <alignment horizontal="right"/>
    </xf>
    <xf numFmtId="0" fontId="8" fillId="12" borderId="3"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6" xfId="0" applyFont="1" applyFill="1" applyBorder="1" applyAlignment="1" applyProtection="1">
      <alignment horizontal="left" vertical="top"/>
    </xf>
    <xf numFmtId="0" fontId="2" fillId="12" borderId="7" xfId="0" applyFont="1" applyFill="1" applyBorder="1" applyAlignment="1" applyProtection="1">
      <alignment horizontal="left" vertical="top"/>
    </xf>
    <xf numFmtId="0" fontId="2" fillId="20" borderId="0" xfId="0" applyFont="1" applyFill="1" applyProtection="1"/>
    <xf numFmtId="0" fontId="2" fillId="20" borderId="0" xfId="0" applyFont="1" applyFill="1" applyAlignment="1" applyProtection="1">
      <alignment horizontal="center"/>
    </xf>
    <xf numFmtId="0" fontId="2" fillId="21" borderId="0" xfId="0" applyFont="1" applyFill="1" applyProtection="1"/>
    <xf numFmtId="0" fontId="3" fillId="0" borderId="0" xfId="0" applyFont="1" applyFill="1" applyProtection="1"/>
    <xf numFmtId="0" fontId="4" fillId="0" borderId="0" xfId="0" applyFont="1" applyFill="1" applyBorder="1" applyProtection="1"/>
    <xf numFmtId="0" fontId="2" fillId="0" borderId="6" xfId="0" applyFont="1" applyFill="1" applyBorder="1" applyAlignment="1" applyProtection="1">
      <alignment horizontal="center"/>
    </xf>
    <xf numFmtId="0" fontId="3" fillId="8" borderId="0" xfId="0" applyFont="1" applyFill="1" applyProtection="1"/>
    <xf numFmtId="0" fontId="2" fillId="23" borderId="0" xfId="0" applyFont="1" applyFill="1" applyProtection="1"/>
    <xf numFmtId="0" fontId="2" fillId="22" borderId="0" xfId="0" applyFont="1" applyFill="1" applyProtection="1"/>
    <xf numFmtId="0" fontId="3" fillId="0" borderId="0" xfId="0" applyFont="1" applyFill="1" applyBorder="1" applyAlignment="1" applyProtection="1">
      <alignment horizontal="left" vertical="top"/>
    </xf>
    <xf numFmtId="0" fontId="3" fillId="0" borderId="0" xfId="0" applyFont="1" applyBorder="1" applyProtection="1"/>
    <xf numFmtId="0" fontId="2" fillId="0" borderId="0" xfId="0" applyFont="1" applyBorder="1" applyAlignment="1" applyProtection="1">
      <alignment horizontal="left" vertical="top"/>
    </xf>
    <xf numFmtId="0" fontId="2" fillId="0" borderId="5" xfId="0" applyFont="1" applyFill="1" applyBorder="1" applyProtection="1"/>
    <xf numFmtId="0" fontId="2" fillId="0" borderId="6" xfId="0" applyFont="1" applyFill="1" applyBorder="1" applyProtection="1"/>
    <xf numFmtId="0" fontId="2" fillId="0" borderId="7" xfId="0" applyFont="1" applyFill="1" applyBorder="1" applyProtection="1"/>
    <xf numFmtId="0" fontId="2" fillId="0" borderId="0" xfId="0" applyFont="1" applyAlignment="1" applyProtection="1"/>
    <xf numFmtId="0" fontId="2" fillId="0" borderId="0" xfId="0" applyFont="1" applyAlignment="1" applyProtection="1">
      <alignment horizontal="left"/>
    </xf>
    <xf numFmtId="0" fontId="3" fillId="0" borderId="0" xfId="0" applyFont="1" applyFill="1" applyBorder="1" applyProtection="1"/>
    <xf numFmtId="0" fontId="4" fillId="5" borderId="3" xfId="0" applyFont="1" applyFill="1" applyBorder="1" applyAlignment="1" applyProtection="1">
      <alignment vertical="top"/>
    </xf>
    <xf numFmtId="0" fontId="4" fillId="5" borderId="4" xfId="0" applyFont="1" applyFill="1" applyBorder="1" applyAlignment="1" applyProtection="1">
      <alignment vertical="top"/>
    </xf>
    <xf numFmtId="0" fontId="2" fillId="26" borderId="0" xfId="0" applyFont="1" applyFill="1" applyBorder="1" applyAlignment="1" applyProtection="1">
      <alignment horizontal="right" vertical="top"/>
    </xf>
    <xf numFmtId="0" fontId="2" fillId="26" borderId="0" xfId="0" applyFont="1" applyFill="1" applyBorder="1" applyAlignment="1" applyProtection="1">
      <alignment horizontal="left" vertical="top"/>
    </xf>
    <xf numFmtId="0" fontId="2" fillId="23" borderId="0" xfId="0" applyFont="1" applyFill="1" applyBorder="1" applyAlignment="1" applyProtection="1">
      <alignment horizontal="right" vertical="top"/>
    </xf>
    <xf numFmtId="0" fontId="2" fillId="10" borderId="3" xfId="0" applyFont="1" applyFill="1" applyBorder="1" applyAlignment="1" applyProtection="1">
      <alignment horizontal="right" vertical="top"/>
    </xf>
    <xf numFmtId="0" fontId="2" fillId="23" borderId="0" xfId="0" applyFont="1" applyFill="1" applyBorder="1" applyAlignment="1" applyProtection="1">
      <alignment horizontal="left" vertical="top"/>
    </xf>
    <xf numFmtId="0" fontId="2" fillId="21" borderId="0" xfId="0" applyFont="1" applyFill="1" applyBorder="1" applyAlignment="1" applyProtection="1">
      <alignment horizontal="right" vertical="top"/>
    </xf>
    <xf numFmtId="0" fontId="24" fillId="0" borderId="0" xfId="0" applyFont="1" applyFill="1" applyBorder="1" applyAlignment="1" applyProtection="1">
      <alignment horizontal="left"/>
    </xf>
    <xf numFmtId="164" fontId="2" fillId="0" borderId="0" xfId="0" applyNumberFormat="1" applyFont="1" applyProtection="1"/>
    <xf numFmtId="0" fontId="2" fillId="27" borderId="0" xfId="0" applyFont="1" applyFill="1" applyProtection="1"/>
    <xf numFmtId="0" fontId="2" fillId="0" borderId="0" xfId="0" applyFont="1" applyAlignment="1" applyProtection="1">
      <alignment horizontal="center"/>
    </xf>
    <xf numFmtId="0" fontId="3" fillId="28" borderId="0" xfId="0" applyFont="1" applyFill="1" applyProtection="1"/>
    <xf numFmtId="0" fontId="25" fillId="0" borderId="0" xfId="0" applyFont="1" applyProtection="1"/>
    <xf numFmtId="0" fontId="2" fillId="13" borderId="9" xfId="0" applyFont="1" applyFill="1" applyBorder="1" applyProtection="1"/>
    <xf numFmtId="0" fontId="4" fillId="13" borderId="9" xfId="0" applyFont="1" applyFill="1" applyBorder="1" applyAlignment="1" applyProtection="1">
      <alignment horizontal="left" vertical="top"/>
    </xf>
    <xf numFmtId="0" fontId="2" fillId="0" borderId="0" xfId="0" applyFont="1" applyAlignment="1" applyProtection="1">
      <alignment horizontal="left" vertical="top" wrapText="1"/>
    </xf>
    <xf numFmtId="0" fontId="3" fillId="0" borderId="0" xfId="0" applyFont="1" applyAlignment="1" applyProtection="1">
      <alignment horizontal="left" vertical="top" wrapText="1"/>
    </xf>
    <xf numFmtId="0" fontId="2" fillId="10" borderId="2" xfId="0" applyFont="1" applyFill="1" applyBorder="1" applyAlignment="1" applyProtection="1"/>
    <xf numFmtId="0" fontId="2" fillId="10" borderId="3" xfId="0" applyFont="1" applyFill="1" applyBorder="1" applyAlignment="1" applyProtection="1"/>
    <xf numFmtId="0" fontId="2" fillId="10" borderId="2" xfId="0" applyFont="1" applyFill="1" applyBorder="1" applyProtection="1"/>
    <xf numFmtId="0" fontId="2" fillId="10" borderId="3" xfId="0" applyFont="1" applyFill="1" applyBorder="1" applyProtection="1"/>
    <xf numFmtId="0" fontId="2" fillId="10" borderId="4" xfId="0" applyFont="1" applyFill="1" applyBorder="1" applyProtection="1"/>
    <xf numFmtId="0" fontId="4" fillId="13" borderId="2" xfId="0" applyFont="1" applyFill="1" applyBorder="1" applyAlignment="1" applyProtection="1">
      <alignment horizontal="right" vertical="top"/>
    </xf>
    <xf numFmtId="0" fontId="2" fillId="10" borderId="11" xfId="0" applyFont="1" applyFill="1" applyBorder="1" applyProtection="1"/>
    <xf numFmtId="0" fontId="2" fillId="10" borderId="0" xfId="0" applyFont="1" applyFill="1" applyBorder="1" applyProtection="1"/>
    <xf numFmtId="0" fontId="2" fillId="0" borderId="0" xfId="0" applyFont="1" applyFill="1" applyAlignment="1" applyProtection="1">
      <alignment horizontal="left" vertical="top" wrapText="1"/>
    </xf>
    <xf numFmtId="0" fontId="2" fillId="0" borderId="12" xfId="0" applyFont="1" applyFill="1" applyBorder="1" applyAlignment="1" applyProtection="1">
      <alignment horizontal="left" vertical="top" wrapText="1"/>
    </xf>
    <xf numFmtId="0" fontId="2" fillId="10" borderId="1" xfId="0" applyFont="1" applyFill="1" applyBorder="1" applyProtection="1">
      <protection locked="0"/>
    </xf>
    <xf numFmtId="0" fontId="4" fillId="13" borderId="2" xfId="0" applyFont="1" applyFill="1" applyBorder="1" applyProtection="1"/>
    <xf numFmtId="0" fontId="4" fillId="13" borderId="3" xfId="0" applyFont="1" applyFill="1" applyBorder="1" applyProtection="1"/>
    <xf numFmtId="0" fontId="4" fillId="13" borderId="4" xfId="0" applyFont="1" applyFill="1" applyBorder="1" applyProtection="1"/>
    <xf numFmtId="0" fontId="2" fillId="10" borderId="13" xfId="0" applyFont="1" applyFill="1" applyBorder="1" applyProtection="1">
      <protection locked="0"/>
    </xf>
    <xf numFmtId="0" fontId="2" fillId="15" borderId="1" xfId="0" applyFont="1" applyFill="1" applyBorder="1" applyProtection="1"/>
    <xf numFmtId="0" fontId="2" fillId="4" borderId="1" xfId="0" applyFont="1" applyFill="1" applyBorder="1" applyProtection="1"/>
    <xf numFmtId="0" fontId="2" fillId="10" borderId="3" xfId="0" applyFont="1" applyFill="1" applyBorder="1" applyAlignment="1" applyProtection="1">
      <alignment horizontal="right"/>
    </xf>
    <xf numFmtId="0" fontId="2" fillId="20" borderId="0" xfId="0" applyFont="1" applyFill="1" applyProtection="1">
      <protection locked="0"/>
    </xf>
    <xf numFmtId="0" fontId="2" fillId="21" borderId="0" xfId="0" applyFont="1" applyFill="1" applyProtection="1">
      <protection locked="0"/>
    </xf>
    <xf numFmtId="0" fontId="2" fillId="10" borderId="14" xfId="0" applyFont="1" applyFill="1" applyBorder="1" applyProtection="1">
      <protection locked="0"/>
    </xf>
    <xf numFmtId="0" fontId="18" fillId="0" borderId="0" xfId="0" applyFont="1" applyProtection="1"/>
    <xf numFmtId="0" fontId="0" fillId="0" borderId="0" xfId="0" applyAlignment="1" applyProtection="1">
      <alignment horizontal="centerContinuous"/>
    </xf>
    <xf numFmtId="0" fontId="19" fillId="11" borderId="3" xfId="0" applyFont="1" applyFill="1" applyBorder="1" applyAlignment="1" applyProtection="1">
      <alignment horizontal="left"/>
    </xf>
    <xf numFmtId="0" fontId="19" fillId="11" borderId="4" xfId="0" applyFont="1" applyFill="1" applyBorder="1" applyAlignment="1" applyProtection="1">
      <alignment horizontal="left"/>
    </xf>
    <xf numFmtId="0" fontId="19" fillId="12" borderId="3" xfId="0" applyFont="1" applyFill="1" applyBorder="1" applyProtection="1"/>
    <xf numFmtId="0" fontId="19" fillId="12" borderId="4" xfId="0" applyFont="1" applyFill="1" applyBorder="1" applyProtection="1"/>
    <xf numFmtId="0" fontId="20" fillId="18" borderId="19" xfId="0" applyFont="1" applyFill="1" applyBorder="1" applyAlignment="1" applyProtection="1">
      <alignment horizontal="left" vertical="top"/>
    </xf>
    <xf numFmtId="0" fontId="20" fillId="18" borderId="16" xfId="0" applyFont="1" applyFill="1" applyBorder="1" applyProtection="1"/>
    <xf numFmtId="0" fontId="2" fillId="19" borderId="19" xfId="0" applyFont="1" applyFill="1" applyBorder="1" applyProtection="1"/>
    <xf numFmtId="0" fontId="2" fillId="19" borderId="16" xfId="0" applyFont="1" applyFill="1" applyBorder="1" applyProtection="1"/>
    <xf numFmtId="0" fontId="2" fillId="0" borderId="19" xfId="0" applyFont="1" applyBorder="1" applyAlignment="1" applyProtection="1">
      <alignment horizontal="left" vertical="top"/>
    </xf>
    <xf numFmtId="0" fontId="2" fillId="0" borderId="16" xfId="0" applyFont="1" applyBorder="1" applyProtection="1"/>
    <xf numFmtId="0" fontId="2" fillId="19" borderId="19" xfId="0" applyFont="1" applyFill="1" applyBorder="1" applyAlignment="1" applyProtection="1">
      <alignment horizontal="left" vertical="top"/>
    </xf>
    <xf numFmtId="0" fontId="2" fillId="19" borderId="15" xfId="0" applyFont="1" applyFill="1" applyBorder="1" applyProtection="1"/>
    <xf numFmtId="0" fontId="2" fillId="0" borderId="16" xfId="0" applyFont="1" applyBorder="1" applyAlignment="1" applyProtection="1">
      <alignment horizontal="left" vertical="top"/>
    </xf>
    <xf numFmtId="0" fontId="2" fillId="19" borderId="16" xfId="0" applyFont="1" applyFill="1" applyBorder="1" applyAlignment="1" applyProtection="1">
      <alignment horizontal="left" vertical="top"/>
    </xf>
    <xf numFmtId="0" fontId="19" fillId="10" borderId="0" xfId="0" applyFont="1" applyFill="1" applyBorder="1" applyProtection="1"/>
    <xf numFmtId="0" fontId="19" fillId="10" borderId="9" xfId="0" applyFont="1" applyFill="1" applyBorder="1" applyProtection="1"/>
    <xf numFmtId="0" fontId="19" fillId="0" borderId="0" xfId="0" applyFont="1" applyAlignment="1" applyProtection="1"/>
    <xf numFmtId="0" fontId="2" fillId="19" borderId="15" xfId="0" applyFont="1" applyFill="1" applyBorder="1" applyAlignment="1" applyProtection="1">
      <alignment horizontal="left" vertical="top"/>
    </xf>
    <xf numFmtId="0" fontId="3" fillId="3" borderId="0" xfId="0" applyFont="1" applyFill="1" applyProtection="1"/>
    <xf numFmtId="0" fontId="19" fillId="0" borderId="0" xfId="0" applyFont="1" applyProtection="1"/>
    <xf numFmtId="0" fontId="0" fillId="0" borderId="0" xfId="0" applyProtection="1"/>
    <xf numFmtId="0" fontId="2" fillId="0" borderId="15" xfId="0" applyFont="1" applyBorder="1" applyProtection="1"/>
    <xf numFmtId="0" fontId="18" fillId="0" borderId="0" xfId="0" applyFont="1" applyAlignment="1" applyProtection="1"/>
    <xf numFmtId="0" fontId="2" fillId="11" borderId="6" xfId="0" applyFont="1" applyFill="1" applyBorder="1" applyProtection="1"/>
    <xf numFmtId="0" fontId="2" fillId="11" borderId="7" xfId="0" applyFont="1" applyFill="1" applyBorder="1" applyProtection="1"/>
    <xf numFmtId="0" fontId="19" fillId="0" borderId="0" xfId="0" applyFont="1" applyFill="1" applyBorder="1" applyProtection="1"/>
    <xf numFmtId="164" fontId="2" fillId="10" borderId="3" xfId="0" applyNumberFormat="1" applyFont="1" applyFill="1" applyBorder="1" applyAlignment="1" applyProtection="1">
      <alignment horizontal="right" vertical="top"/>
    </xf>
    <xf numFmtId="0" fontId="2" fillId="10" borderId="6" xfId="0" applyFont="1" applyFill="1" applyBorder="1" applyAlignment="1" applyProtection="1">
      <alignment horizontal="left" vertical="top"/>
    </xf>
    <xf numFmtId="0" fontId="2" fillId="10" borderId="6" xfId="0" applyFont="1" applyFill="1" applyBorder="1" applyAlignment="1" applyProtection="1">
      <alignment horizontal="left" vertical="top" wrapText="1"/>
    </xf>
    <xf numFmtId="0" fontId="22" fillId="11" borderId="3" xfId="0" applyFont="1" applyFill="1" applyBorder="1" applyAlignment="1" applyProtection="1">
      <alignment horizontal="centerContinuous"/>
    </xf>
    <xf numFmtId="0" fontId="19" fillId="12" borderId="3" xfId="0" applyFont="1" applyFill="1" applyBorder="1" applyAlignment="1" applyProtection="1">
      <alignment horizontal="centerContinuous"/>
    </xf>
    <xf numFmtId="0" fontId="19" fillId="12" borderId="4" xfId="0" applyFont="1" applyFill="1" applyBorder="1" applyAlignment="1" applyProtection="1">
      <alignment horizontal="centerContinuous"/>
    </xf>
    <xf numFmtId="0" fontId="20" fillId="18" borderId="21" xfId="0" applyFont="1" applyFill="1" applyBorder="1" applyProtection="1"/>
    <xf numFmtId="0" fontId="2" fillId="19" borderId="21" xfId="0" applyFont="1" applyFill="1" applyBorder="1" applyProtection="1"/>
    <xf numFmtId="0" fontId="2" fillId="0" borderId="21" xfId="0" applyFont="1" applyBorder="1" applyProtection="1"/>
    <xf numFmtId="0" fontId="2" fillId="19" borderId="20" xfId="0" applyFont="1" applyFill="1" applyBorder="1" applyProtection="1"/>
    <xf numFmtId="0" fontId="2" fillId="3" borderId="0" xfId="0" applyFont="1" applyFill="1" applyProtection="1"/>
    <xf numFmtId="0" fontId="3" fillId="27" borderId="0" xfId="0" applyFont="1" applyFill="1" applyProtection="1"/>
    <xf numFmtId="0" fontId="2" fillId="0" borderId="0" xfId="0" applyFont="1" applyBorder="1" applyAlignment="1" applyProtection="1">
      <alignment horizontal="right"/>
    </xf>
    <xf numFmtId="0" fontId="3" fillId="0" borderId="0" xfId="0" applyFont="1" applyBorder="1" applyAlignment="1" applyProtection="1"/>
    <xf numFmtId="0" fontId="4" fillId="12" borderId="11" xfId="0" applyFont="1" applyFill="1" applyBorder="1" applyAlignment="1" applyProtection="1">
      <alignment horizontal="left" vertical="top"/>
    </xf>
    <xf numFmtId="0" fontId="2" fillId="10" borderId="1" xfId="0" applyFont="1" applyFill="1" applyBorder="1" applyAlignment="1" applyProtection="1">
      <alignment vertical="top"/>
    </xf>
    <xf numFmtId="0" fontId="2" fillId="10" borderId="4" xfId="0" applyFont="1" applyFill="1" applyBorder="1" applyProtection="1">
      <protection locked="0"/>
    </xf>
    <xf numFmtId="0" fontId="2" fillId="10" borderId="2" xfId="0" applyFont="1" applyFill="1" applyBorder="1" applyProtection="1"/>
    <xf numFmtId="0" fontId="2" fillId="10" borderId="3" xfId="0" applyFont="1" applyFill="1" applyBorder="1" applyProtection="1"/>
    <xf numFmtId="0" fontId="2" fillId="10" borderId="4" xfId="0" applyFont="1" applyFill="1" applyBorder="1" applyProtection="1"/>
    <xf numFmtId="0" fontId="2" fillId="10" borderId="1" xfId="0" applyFont="1" applyFill="1" applyBorder="1" applyProtection="1">
      <protection locked="0"/>
    </xf>
    <xf numFmtId="0" fontId="17" fillId="10" borderId="3" xfId="1" applyFont="1" applyFill="1" applyBorder="1" applyAlignment="1" applyProtection="1">
      <alignment horizontal="left"/>
    </xf>
    <xf numFmtId="0" fontId="2" fillId="0" borderId="0" xfId="0" applyFont="1" applyFill="1" applyBorder="1" applyProtection="1">
      <protection locked="0"/>
    </xf>
    <xf numFmtId="0" fontId="2" fillId="19" borderId="22" xfId="0" applyFont="1" applyFill="1" applyBorder="1" applyProtection="1"/>
    <xf numFmtId="0" fontId="2" fillId="12" borderId="8" xfId="0" applyFont="1" applyFill="1" applyBorder="1" applyProtection="1"/>
    <xf numFmtId="0" fontId="2" fillId="12" borderId="0" xfId="0" applyFont="1" applyFill="1" applyBorder="1" applyAlignment="1" applyProtection="1">
      <alignment textRotation="90"/>
    </xf>
    <xf numFmtId="0" fontId="2" fillId="12" borderId="12" xfId="0" applyFont="1" applyFill="1" applyBorder="1" applyAlignment="1" applyProtection="1">
      <alignment textRotation="90"/>
    </xf>
    <xf numFmtId="0" fontId="2" fillId="10" borderId="2" xfId="0" applyFont="1" applyFill="1" applyBorder="1" applyProtection="1"/>
    <xf numFmtId="0" fontId="2" fillId="10" borderId="3" xfId="0" applyFont="1" applyFill="1" applyBorder="1" applyProtection="1"/>
    <xf numFmtId="9" fontId="2" fillId="10" borderId="3" xfId="2" applyNumberFormat="1" applyFont="1" applyFill="1" applyBorder="1" applyAlignment="1" applyProtection="1">
      <alignment horizontal="center" vertical="top"/>
    </xf>
    <xf numFmtId="0" fontId="3" fillId="22" borderId="0" xfId="0" applyFont="1" applyFill="1" applyBorder="1" applyProtection="1"/>
    <xf numFmtId="0" fontId="2" fillId="0" borderId="0" xfId="0" applyFont="1" applyProtection="1">
      <protection locked="0"/>
    </xf>
    <xf numFmtId="0" fontId="2" fillId="0" borderId="0" xfId="0" applyFont="1"/>
    <xf numFmtId="0" fontId="3" fillId="0" borderId="0" xfId="0" applyFont="1"/>
    <xf numFmtId="0" fontId="3" fillId="0" borderId="6" xfId="0" applyFont="1" applyBorder="1" applyAlignment="1" applyProtection="1">
      <alignment horizontal="center"/>
    </xf>
    <xf numFmtId="0" fontId="2" fillId="10" borderId="8" xfId="0" applyFont="1" applyFill="1" applyBorder="1" applyAlignment="1" applyProtection="1">
      <alignment horizontal="center" vertical="top"/>
      <protection locked="0"/>
    </xf>
    <xf numFmtId="0" fontId="2" fillId="10" borderId="9" xfId="0" applyFont="1" applyFill="1" applyBorder="1" applyAlignment="1" applyProtection="1">
      <alignment horizontal="center" vertical="top"/>
      <protection locked="0"/>
    </xf>
    <xf numFmtId="0" fontId="2" fillId="10" borderId="10" xfId="0" applyFont="1" applyFill="1" applyBorder="1" applyAlignment="1" applyProtection="1">
      <alignment horizontal="center" vertical="top"/>
      <protection locked="0"/>
    </xf>
    <xf numFmtId="0" fontId="3" fillId="0" borderId="3" xfId="0" applyFont="1" applyBorder="1" applyAlignment="1" applyProtection="1">
      <alignment horizontal="center"/>
    </xf>
    <xf numFmtId="164" fontId="2" fillId="10" borderId="2" xfId="0" applyNumberFormat="1" applyFont="1" applyFill="1" applyBorder="1" applyAlignment="1" applyProtection="1">
      <alignment horizontal="right" wrapText="1"/>
      <protection locked="0"/>
    </xf>
    <xf numFmtId="164" fontId="2" fillId="10" borderId="3" xfId="0" applyNumberFormat="1" applyFont="1" applyFill="1" applyBorder="1" applyAlignment="1" applyProtection="1">
      <alignment horizontal="right" wrapText="1"/>
      <protection locked="0"/>
    </xf>
    <xf numFmtId="164" fontId="2" fillId="10" borderId="4" xfId="0" applyNumberFormat="1" applyFont="1" applyFill="1" applyBorder="1" applyAlignment="1" applyProtection="1">
      <alignment horizontal="right" wrapText="1"/>
      <protection locked="0"/>
    </xf>
    <xf numFmtId="0" fontId="2" fillId="10" borderId="3" xfId="0" applyFont="1" applyFill="1" applyBorder="1" applyAlignment="1" applyProtection="1">
      <alignment horizontal="right" wrapText="1"/>
      <protection locked="0"/>
    </xf>
    <xf numFmtId="0" fontId="2" fillId="10" borderId="4" xfId="0" applyFont="1" applyFill="1" applyBorder="1" applyAlignment="1" applyProtection="1">
      <alignment horizontal="right" wrapText="1"/>
      <protection locked="0"/>
    </xf>
    <xf numFmtId="0" fontId="2" fillId="10" borderId="2" xfId="0" applyFont="1" applyFill="1" applyBorder="1" applyAlignment="1" applyProtection="1">
      <alignment horizontal="right" wrapText="1"/>
      <protection locked="0"/>
    </xf>
    <xf numFmtId="9" fontId="2" fillId="10" borderId="3" xfId="2" applyNumberFormat="1" applyFont="1" applyFill="1" applyBorder="1" applyAlignment="1" applyProtection="1">
      <alignment horizontal="center" vertical="top"/>
    </xf>
    <xf numFmtId="9" fontId="2" fillId="10" borderId="4" xfId="2" applyNumberFormat="1" applyFont="1" applyFill="1" applyBorder="1" applyAlignment="1" applyProtection="1">
      <alignment horizontal="center" vertical="top"/>
    </xf>
    <xf numFmtId="0" fontId="2" fillId="10" borderId="2" xfId="0" applyFont="1" applyFill="1" applyBorder="1" applyAlignment="1" applyProtection="1">
      <alignment horizontal="center" vertical="top"/>
      <protection locked="0"/>
    </xf>
    <xf numFmtId="0" fontId="2" fillId="10" borderId="3" xfId="0" applyFont="1" applyFill="1" applyBorder="1" applyAlignment="1" applyProtection="1">
      <alignment horizontal="center" vertical="top"/>
      <protection locked="0"/>
    </xf>
    <xf numFmtId="0" fontId="2" fillId="10" borderId="4" xfId="0" applyFont="1" applyFill="1" applyBorder="1" applyAlignment="1" applyProtection="1">
      <alignment horizontal="center" vertical="top"/>
      <protection locked="0"/>
    </xf>
    <xf numFmtId="0" fontId="4" fillId="12" borderId="2" xfId="0" applyFont="1" applyFill="1" applyBorder="1" applyAlignment="1" applyProtection="1">
      <alignment horizontal="center" vertical="top"/>
    </xf>
    <xf numFmtId="0" fontId="4" fillId="12" borderId="3" xfId="0" applyFont="1" applyFill="1" applyBorder="1" applyAlignment="1" applyProtection="1">
      <alignment horizontal="center" vertical="top"/>
    </xf>
    <xf numFmtId="0" fontId="4" fillId="12" borderId="4" xfId="0" applyFont="1" applyFill="1" applyBorder="1" applyAlignment="1" applyProtection="1">
      <alignment horizontal="center" vertical="top"/>
    </xf>
    <xf numFmtId="0" fontId="2" fillId="10" borderId="2" xfId="0" applyFont="1" applyFill="1" applyBorder="1" applyAlignment="1" applyProtection="1">
      <alignment horizontal="right" vertical="top"/>
      <protection locked="0"/>
    </xf>
    <xf numFmtId="0" fontId="2" fillId="10" borderId="3" xfId="0" applyFont="1" applyFill="1" applyBorder="1" applyAlignment="1" applyProtection="1">
      <alignment horizontal="right" vertical="top"/>
      <protection locked="0"/>
    </xf>
    <xf numFmtId="0" fontId="2" fillId="10" borderId="4" xfId="0" applyFont="1" applyFill="1" applyBorder="1" applyAlignment="1" applyProtection="1">
      <alignment horizontal="right" vertical="top"/>
      <protection locked="0"/>
    </xf>
    <xf numFmtId="0" fontId="4" fillId="11" borderId="3" xfId="0" applyFont="1" applyFill="1" applyBorder="1" applyAlignment="1" applyProtection="1">
      <alignment horizontal="center" vertical="top"/>
    </xf>
    <xf numFmtId="0" fontId="2" fillId="10" borderId="3" xfId="0" applyFont="1" applyFill="1" applyBorder="1" applyAlignment="1" applyProtection="1">
      <alignment horizontal="center" vertical="center"/>
    </xf>
    <xf numFmtId="0" fontId="2" fillId="10" borderId="4" xfId="0" applyFont="1" applyFill="1" applyBorder="1" applyAlignment="1" applyProtection="1">
      <alignment horizontal="center" vertical="center"/>
    </xf>
    <xf numFmtId="0" fontId="2" fillId="10" borderId="0" xfId="0" applyFont="1" applyFill="1" applyBorder="1" applyAlignment="1" applyProtection="1">
      <alignment horizontal="left" vertical="top" wrapText="1"/>
      <protection locked="0"/>
    </xf>
    <xf numFmtId="0" fontId="2" fillId="10" borderId="12" xfId="0" applyFont="1" applyFill="1" applyBorder="1" applyAlignment="1" applyProtection="1">
      <alignment horizontal="left" vertical="top" wrapText="1"/>
      <protection locked="0"/>
    </xf>
    <xf numFmtId="0" fontId="2" fillId="10" borderId="9" xfId="0" applyFont="1" applyFill="1" applyBorder="1" applyAlignment="1" applyProtection="1">
      <alignment horizontal="left" vertical="top" wrapText="1"/>
      <protection locked="0"/>
    </xf>
    <xf numFmtId="0" fontId="2" fillId="10" borderId="10" xfId="0" applyFont="1" applyFill="1" applyBorder="1" applyAlignment="1" applyProtection="1">
      <alignment horizontal="left" vertical="top" wrapText="1"/>
      <protection locked="0"/>
    </xf>
    <xf numFmtId="0" fontId="17" fillId="10" borderId="0" xfId="1" applyFont="1" applyFill="1" applyBorder="1" applyAlignment="1" applyProtection="1">
      <alignment horizontal="right"/>
      <protection locked="0"/>
    </xf>
    <xf numFmtId="0" fontId="10" fillId="0" borderId="0" xfId="0" applyFont="1" applyBorder="1" applyAlignment="1" applyProtection="1">
      <alignment horizontal="center" vertical="center" textRotation="90"/>
    </xf>
    <xf numFmtId="0" fontId="3" fillId="0" borderId="0" xfId="0" applyFont="1" applyFill="1" applyBorder="1" applyAlignment="1" applyProtection="1">
      <alignment horizontal="center"/>
    </xf>
    <xf numFmtId="0" fontId="2" fillId="10" borderId="2" xfId="0" applyFont="1" applyFill="1" applyBorder="1" applyAlignment="1" applyProtection="1">
      <alignment horizontal="right"/>
      <protection locked="0"/>
    </xf>
    <xf numFmtId="0" fontId="2" fillId="10" borderId="3" xfId="0" applyFont="1" applyFill="1" applyBorder="1" applyAlignment="1" applyProtection="1">
      <alignment horizontal="right"/>
      <protection locked="0"/>
    </xf>
    <xf numFmtId="0" fontId="2" fillId="10" borderId="4" xfId="0" applyFont="1" applyFill="1" applyBorder="1" applyAlignment="1" applyProtection="1">
      <alignment horizontal="right"/>
      <protection locked="0"/>
    </xf>
    <xf numFmtId="0" fontId="4" fillId="5" borderId="1" xfId="0" applyFont="1" applyFill="1" applyBorder="1" applyAlignment="1" applyProtection="1">
      <alignment vertical="top"/>
    </xf>
    <xf numFmtId="164" fontId="2" fillId="10" borderId="1" xfId="0" applyNumberFormat="1" applyFont="1" applyFill="1" applyBorder="1" applyAlignment="1" applyProtection="1">
      <alignment horizontal="right" vertical="top"/>
      <protection locked="0"/>
    </xf>
    <xf numFmtId="164" fontId="4" fillId="13" borderId="4" xfId="0" applyNumberFormat="1" applyFont="1" applyFill="1" applyBorder="1" applyAlignment="1" applyProtection="1">
      <alignment horizontal="right" vertical="top"/>
    </xf>
    <xf numFmtId="164" fontId="4" fillId="13" borderId="1" xfId="0" applyNumberFormat="1" applyFont="1" applyFill="1" applyBorder="1" applyAlignment="1" applyProtection="1">
      <alignment horizontal="right" vertical="top"/>
    </xf>
    <xf numFmtId="0" fontId="2" fillId="10" borderId="2" xfId="0" applyFont="1" applyFill="1" applyBorder="1" applyProtection="1">
      <protection locked="0"/>
    </xf>
    <xf numFmtId="0" fontId="2" fillId="10" borderId="3" xfId="0" applyFont="1" applyFill="1" applyBorder="1" applyProtection="1">
      <protection locked="0"/>
    </xf>
    <xf numFmtId="0" fontId="2" fillId="10" borderId="4" xfId="0" applyFont="1" applyFill="1" applyBorder="1" applyProtection="1">
      <protection locked="0"/>
    </xf>
    <xf numFmtId="0" fontId="2" fillId="10" borderId="14" xfId="0" applyFont="1" applyFill="1" applyBorder="1" applyAlignment="1" applyProtection="1">
      <alignment horizontal="left" vertical="top" wrapText="1"/>
      <protection locked="0"/>
    </xf>
    <xf numFmtId="0" fontId="4" fillId="24" borderId="13" xfId="0" applyFont="1" applyFill="1" applyBorder="1" applyAlignment="1" applyProtection="1">
      <alignment horizontal="center" vertical="center" textRotation="90"/>
    </xf>
    <xf numFmtId="0" fontId="4" fillId="24" borderId="18" xfId="0" applyFont="1" applyFill="1" applyBorder="1" applyAlignment="1" applyProtection="1">
      <alignment horizontal="center" vertical="center" textRotation="90"/>
    </xf>
    <xf numFmtId="0" fontId="4" fillId="24" borderId="14" xfId="0" applyFont="1" applyFill="1" applyBorder="1" applyAlignment="1" applyProtection="1">
      <alignment horizontal="center" vertical="center" textRotation="90"/>
    </xf>
    <xf numFmtId="164" fontId="2" fillId="13" borderId="3" xfId="0" applyNumberFormat="1" applyFont="1" applyFill="1" applyBorder="1" applyAlignment="1" applyProtection="1">
      <alignment horizontal="right" wrapText="1"/>
    </xf>
    <xf numFmtId="164" fontId="2" fillId="13" borderId="4" xfId="0" applyNumberFormat="1" applyFont="1" applyFill="1" applyBorder="1" applyAlignment="1" applyProtection="1">
      <alignment horizontal="right" wrapText="1"/>
    </xf>
    <xf numFmtId="0" fontId="2" fillId="10" borderId="8" xfId="0" applyFont="1" applyFill="1" applyBorder="1" applyAlignment="1" applyProtection="1">
      <alignment horizontal="right" vertical="top"/>
      <protection locked="0"/>
    </xf>
    <xf numFmtId="0" fontId="2" fillId="10" borderId="9" xfId="0" applyFont="1" applyFill="1" applyBorder="1" applyAlignment="1" applyProtection="1">
      <alignment horizontal="right" vertical="top"/>
      <protection locked="0"/>
    </xf>
    <xf numFmtId="0" fontId="2" fillId="10" borderId="10" xfId="0" applyFont="1" applyFill="1" applyBorder="1" applyAlignment="1" applyProtection="1">
      <alignment horizontal="right" vertical="top"/>
      <protection locked="0"/>
    </xf>
    <xf numFmtId="0" fontId="2" fillId="10" borderId="5" xfId="0" applyFont="1" applyFill="1" applyBorder="1" applyAlignment="1" applyProtection="1">
      <alignment horizontal="right" vertical="center"/>
      <protection locked="0"/>
    </xf>
    <xf numFmtId="0" fontId="2" fillId="10" borderId="6" xfId="0" applyFont="1" applyFill="1" applyBorder="1" applyAlignment="1" applyProtection="1">
      <alignment horizontal="right" vertical="center"/>
      <protection locked="0"/>
    </xf>
    <xf numFmtId="0" fontId="2" fillId="10" borderId="7" xfId="0" applyFont="1" applyFill="1" applyBorder="1" applyAlignment="1" applyProtection="1">
      <alignment horizontal="right" vertical="center"/>
      <protection locked="0"/>
    </xf>
    <xf numFmtId="0" fontId="2" fillId="13" borderId="3" xfId="0" applyFont="1" applyFill="1" applyBorder="1" applyAlignment="1" applyProtection="1">
      <alignment horizontal="right" wrapText="1"/>
    </xf>
    <xf numFmtId="0" fontId="2" fillId="13" borderId="4" xfId="0" applyFont="1" applyFill="1" applyBorder="1" applyAlignment="1" applyProtection="1">
      <alignment horizontal="right" wrapText="1"/>
    </xf>
    <xf numFmtId="0" fontId="4" fillId="15" borderId="13" xfId="0" applyFont="1" applyFill="1" applyBorder="1" applyAlignment="1" applyProtection="1">
      <alignment horizontal="center" vertical="center" textRotation="90"/>
    </xf>
    <xf numFmtId="0" fontId="4" fillId="15" borderId="18" xfId="0" applyFont="1" applyFill="1" applyBorder="1" applyAlignment="1" applyProtection="1">
      <alignment horizontal="center" vertical="center" textRotation="90"/>
    </xf>
    <xf numFmtId="0" fontId="4" fillId="15" borderId="14" xfId="0" applyFont="1" applyFill="1" applyBorder="1" applyAlignment="1" applyProtection="1">
      <alignment horizontal="center" vertical="center" textRotation="90"/>
    </xf>
    <xf numFmtId="164" fontId="2" fillId="10" borderId="4" xfId="0" applyNumberFormat="1" applyFont="1" applyFill="1" applyBorder="1" applyAlignment="1" applyProtection="1">
      <alignment horizontal="right" vertical="top"/>
      <protection locked="0"/>
    </xf>
    <xf numFmtId="0" fontId="2" fillId="10" borderId="1" xfId="0" applyFont="1" applyFill="1" applyBorder="1" applyProtection="1">
      <protection locked="0"/>
    </xf>
    <xf numFmtId="0" fontId="2" fillId="10" borderId="13" xfId="0" applyFont="1" applyFill="1" applyBorder="1" applyProtection="1">
      <protection locked="0"/>
    </xf>
    <xf numFmtId="0" fontId="2" fillId="7" borderId="13" xfId="0" applyFont="1" applyFill="1" applyBorder="1" applyProtection="1"/>
    <xf numFmtId="0" fontId="2" fillId="10" borderId="7" xfId="0" applyFont="1" applyFill="1" applyBorder="1" applyProtection="1">
      <protection locked="0"/>
    </xf>
    <xf numFmtId="0" fontId="2" fillId="8" borderId="13" xfId="0" applyFont="1" applyFill="1" applyBorder="1" applyProtection="1"/>
    <xf numFmtId="0" fontId="2" fillId="10" borderId="2" xfId="0" applyFont="1" applyFill="1" applyBorder="1" applyAlignment="1" applyProtection="1">
      <alignment horizontal="center"/>
      <protection locked="0"/>
    </xf>
    <xf numFmtId="0" fontId="2" fillId="10" borderId="3" xfId="0" applyFont="1" applyFill="1" applyBorder="1" applyAlignment="1" applyProtection="1">
      <alignment horizontal="center"/>
      <protection locked="0"/>
    </xf>
    <xf numFmtId="0" fontId="2" fillId="10" borderId="4" xfId="0" applyFont="1" applyFill="1" applyBorder="1" applyAlignment="1" applyProtection="1">
      <alignment horizontal="center"/>
      <protection locked="0"/>
    </xf>
    <xf numFmtId="0" fontId="2" fillId="5" borderId="7" xfId="0" applyFont="1" applyFill="1" applyBorder="1" applyProtection="1"/>
    <xf numFmtId="0" fontId="2" fillId="5" borderId="13" xfId="0" applyFont="1" applyFill="1" applyBorder="1" applyProtection="1"/>
    <xf numFmtId="164" fontId="2" fillId="10" borderId="13" xfId="0" applyNumberFormat="1" applyFont="1" applyFill="1" applyBorder="1" applyAlignment="1" applyProtection="1">
      <alignment horizontal="right"/>
      <protection locked="0"/>
    </xf>
    <xf numFmtId="0" fontId="2" fillId="3" borderId="1" xfId="0" applyFont="1" applyFill="1" applyBorder="1" applyProtection="1"/>
    <xf numFmtId="0" fontId="4" fillId="11" borderId="3" xfId="0" applyFont="1" applyFill="1" applyBorder="1" applyAlignment="1" applyProtection="1">
      <alignment horizontal="center"/>
    </xf>
    <xf numFmtId="0" fontId="4" fillId="0" borderId="1" xfId="0" applyFont="1" applyFill="1" applyBorder="1" applyProtection="1"/>
    <xf numFmtId="0" fontId="4" fillId="9" borderId="1" xfId="0" applyFont="1" applyFill="1" applyBorder="1" applyProtection="1"/>
    <xf numFmtId="0" fontId="4" fillId="9" borderId="2" xfId="0" applyFont="1" applyFill="1" applyBorder="1" applyProtection="1"/>
    <xf numFmtId="0" fontId="2" fillId="9" borderId="11" xfId="0" applyFont="1" applyFill="1" applyBorder="1" applyProtection="1"/>
    <xf numFmtId="0" fontId="2" fillId="9" borderId="0" xfId="0" applyFont="1" applyFill="1" applyBorder="1" applyProtection="1"/>
    <xf numFmtId="0" fontId="2" fillId="9" borderId="12" xfId="0" applyFont="1" applyFill="1" applyBorder="1" applyProtection="1"/>
    <xf numFmtId="0" fontId="4" fillId="13" borderId="2" xfId="0" applyFont="1" applyFill="1" applyBorder="1" applyProtection="1"/>
    <xf numFmtId="0" fontId="4" fillId="13" borderId="3" xfId="0" applyFont="1" applyFill="1" applyBorder="1" applyProtection="1"/>
    <xf numFmtId="0" fontId="4" fillId="13" borderId="4" xfId="0" applyFont="1" applyFill="1" applyBorder="1" applyProtection="1"/>
    <xf numFmtId="164" fontId="2" fillId="10" borderId="13" xfId="0" applyNumberFormat="1" applyFont="1" applyFill="1" applyBorder="1" applyAlignment="1" applyProtection="1">
      <alignment horizontal="right"/>
    </xf>
    <xf numFmtId="0" fontId="2" fillId="10" borderId="1" xfId="0" applyFont="1" applyFill="1" applyBorder="1" applyAlignment="1" applyProtection="1">
      <alignment horizontal="left" wrapText="1"/>
      <protection locked="0"/>
    </xf>
    <xf numFmtId="165" fontId="2" fillId="10" borderId="1" xfId="0" applyNumberFormat="1" applyFont="1" applyFill="1" applyBorder="1" applyAlignment="1" applyProtection="1">
      <alignment horizontal="left" wrapText="1"/>
      <protection locked="0"/>
    </xf>
    <xf numFmtId="164" fontId="2" fillId="10" borderId="1" xfId="0" applyNumberFormat="1" applyFont="1" applyFill="1" applyBorder="1" applyAlignment="1" applyProtection="1">
      <alignment horizontal="right"/>
      <protection locked="0"/>
    </xf>
    <xf numFmtId="164" fontId="2" fillId="10" borderId="1" xfId="0" applyNumberFormat="1" applyFont="1" applyFill="1" applyBorder="1" applyAlignment="1" applyProtection="1">
      <alignment horizontal="right"/>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17" fillId="0" borderId="0" xfId="1" applyFont="1" applyBorder="1" applyAlignment="1" applyProtection="1">
      <alignment horizontal="right"/>
      <protection locked="0"/>
    </xf>
    <xf numFmtId="0" fontId="2" fillId="0" borderId="0" xfId="0" applyFont="1" applyAlignment="1" applyProtection="1">
      <alignment horizontal="left" vertical="top" wrapText="1"/>
    </xf>
    <xf numFmtId="0" fontId="5" fillId="0" borderId="0" xfId="0" applyFont="1" applyFill="1" applyProtection="1"/>
    <xf numFmtId="0" fontId="4" fillId="11" borderId="11" xfId="0" applyFont="1" applyFill="1" applyBorder="1" applyAlignment="1" applyProtection="1">
      <alignment horizontal="left" vertical="center" wrapText="1"/>
    </xf>
    <xf numFmtId="0" fontId="4" fillId="11" borderId="0" xfId="0" applyFont="1" applyFill="1" applyBorder="1" applyAlignment="1" applyProtection="1">
      <alignment horizontal="left" vertical="center" wrapText="1"/>
    </xf>
    <xf numFmtId="0" fontId="2" fillId="10" borderId="1" xfId="0" applyFont="1" applyFill="1" applyBorder="1" applyAlignment="1" applyProtection="1">
      <alignment horizontal="left" vertical="center" wrapText="1"/>
    </xf>
    <xf numFmtId="0" fontId="2" fillId="10" borderId="1" xfId="0" applyFont="1" applyFill="1" applyBorder="1" applyAlignment="1" applyProtection="1">
      <alignment horizontal="left" vertical="top" wrapText="1"/>
      <protection locked="0"/>
    </xf>
    <xf numFmtId="0" fontId="4" fillId="11" borderId="0" xfId="0" applyFont="1" applyFill="1" applyProtection="1"/>
    <xf numFmtId="0" fontId="2" fillId="10" borderId="1" xfId="0" applyFont="1" applyFill="1" applyBorder="1" applyProtection="1"/>
    <xf numFmtId="0" fontId="2" fillId="10" borderId="4" xfId="0" applyFont="1" applyFill="1" applyBorder="1" applyProtection="1"/>
    <xf numFmtId="0" fontId="2" fillId="4" borderId="1" xfId="0" applyFont="1" applyFill="1" applyBorder="1" applyProtection="1"/>
    <xf numFmtId="0" fontId="2" fillId="10" borderId="13" xfId="0" applyFont="1" applyFill="1" applyBorder="1" applyProtection="1"/>
    <xf numFmtId="164" fontId="2" fillId="5" borderId="13" xfId="0" applyNumberFormat="1" applyFont="1" applyFill="1" applyBorder="1" applyAlignment="1" applyProtection="1">
      <alignment horizontal="right"/>
    </xf>
    <xf numFmtId="164" fontId="2" fillId="5" borderId="1" xfId="0" applyNumberFormat="1" applyFont="1" applyFill="1" applyBorder="1" applyAlignment="1" applyProtection="1">
      <alignment horizontal="right"/>
    </xf>
    <xf numFmtId="0" fontId="2" fillId="15" borderId="1" xfId="0" applyFont="1" applyFill="1" applyBorder="1" applyProtection="1"/>
    <xf numFmtId="0" fontId="2" fillId="16" borderId="13" xfId="0" applyFont="1" applyFill="1" applyBorder="1" applyProtection="1"/>
    <xf numFmtId="0" fontId="2" fillId="7" borderId="1" xfId="0" applyFont="1" applyFill="1" applyBorder="1" applyProtection="1"/>
    <xf numFmtId="0" fontId="4" fillId="25" borderId="1" xfId="0" applyFont="1" applyFill="1" applyBorder="1" applyProtection="1"/>
    <xf numFmtId="0" fontId="2" fillId="8" borderId="1" xfId="0" applyFont="1" applyFill="1" applyBorder="1" applyProtection="1"/>
    <xf numFmtId="0" fontId="2" fillId="16" borderId="1" xfId="0" applyFont="1" applyFill="1" applyBorder="1" applyProtection="1"/>
    <xf numFmtId="0" fontId="4" fillId="13" borderId="1" xfId="0" applyFont="1" applyFill="1" applyBorder="1" applyProtection="1"/>
    <xf numFmtId="0" fontId="4" fillId="25" borderId="2" xfId="0" applyFont="1" applyFill="1" applyBorder="1" applyProtection="1"/>
    <xf numFmtId="0" fontId="4" fillId="25" borderId="3" xfId="0" applyFont="1" applyFill="1" applyBorder="1" applyProtection="1"/>
    <xf numFmtId="0" fontId="4" fillId="25" borderId="4" xfId="0" applyFont="1" applyFill="1" applyBorder="1" applyProtection="1"/>
    <xf numFmtId="0" fontId="4" fillId="24" borderId="1" xfId="0" applyFont="1" applyFill="1" applyBorder="1" applyProtection="1"/>
    <xf numFmtId="0" fontId="4" fillId="3" borderId="13" xfId="0" applyFont="1" applyFill="1" applyBorder="1" applyAlignment="1" applyProtection="1">
      <alignment horizontal="center" vertical="center" textRotation="90"/>
    </xf>
    <xf numFmtId="0" fontId="4" fillId="3" borderId="18" xfId="0" applyFont="1" applyFill="1" applyBorder="1" applyAlignment="1" applyProtection="1">
      <alignment horizontal="center" vertical="center" textRotation="90"/>
    </xf>
    <xf numFmtId="0" fontId="4" fillId="3" borderId="14" xfId="0" applyFont="1" applyFill="1" applyBorder="1" applyAlignment="1" applyProtection="1">
      <alignment horizontal="center" vertical="center" textRotation="90"/>
    </xf>
    <xf numFmtId="0" fontId="3" fillId="0" borderId="0" xfId="0" applyFont="1" applyAlignment="1" applyProtection="1">
      <alignment horizontal="center"/>
    </xf>
    <xf numFmtId="0" fontId="2" fillId="0" borderId="0" xfId="0" applyFont="1" applyFill="1" applyAlignment="1" applyProtection="1">
      <alignment horizontal="left" vertical="top" wrapText="1"/>
    </xf>
    <xf numFmtId="0" fontId="2" fillId="10" borderId="11" xfId="0" applyFont="1" applyFill="1" applyBorder="1" applyAlignment="1" applyProtection="1"/>
    <xf numFmtId="0" fontId="2" fillId="10" borderId="0" xfId="0" applyFont="1" applyFill="1" applyBorder="1" applyAlignment="1" applyProtection="1"/>
    <xf numFmtId="0" fontId="2" fillId="0" borderId="12" xfId="0" applyFont="1" applyFill="1" applyBorder="1" applyAlignment="1" applyProtection="1">
      <alignment horizontal="left" vertical="top" wrapText="1"/>
    </xf>
    <xf numFmtId="0" fontId="2" fillId="10" borderId="1" xfId="0" applyFont="1" applyFill="1" applyBorder="1" applyAlignment="1" applyProtection="1">
      <alignment horizontal="right" vertical="center"/>
    </xf>
    <xf numFmtId="0" fontId="2" fillId="10" borderId="3" xfId="0" applyFont="1" applyFill="1" applyBorder="1" applyProtection="1"/>
    <xf numFmtId="0" fontId="4" fillId="13" borderId="2" xfId="0" applyFont="1" applyFill="1" applyBorder="1" applyAlignment="1" applyProtection="1">
      <alignment horizontal="right" vertical="top"/>
    </xf>
    <xf numFmtId="0" fontId="4" fillId="13" borderId="4" xfId="0" applyFont="1" applyFill="1" applyBorder="1" applyAlignment="1" applyProtection="1">
      <alignment horizontal="right" vertical="top"/>
    </xf>
    <xf numFmtId="0" fontId="2" fillId="10" borderId="6" xfId="0" applyFont="1" applyFill="1" applyBorder="1" applyAlignment="1" applyProtection="1">
      <alignment horizontal="right" vertical="center"/>
    </xf>
    <xf numFmtId="0" fontId="2" fillId="10" borderId="9" xfId="0" applyFont="1" applyFill="1" applyBorder="1" applyAlignment="1" applyProtection="1">
      <alignment horizontal="right" vertical="center"/>
    </xf>
    <xf numFmtId="0" fontId="2" fillId="10" borderId="2" xfId="0" applyFont="1" applyFill="1" applyBorder="1" applyAlignment="1" applyProtection="1"/>
    <xf numFmtId="0" fontId="2" fillId="10" borderId="3" xfId="0" applyFont="1" applyFill="1" applyBorder="1" applyAlignment="1" applyProtection="1"/>
    <xf numFmtId="0" fontId="2" fillId="10" borderId="4" xfId="0" applyFont="1" applyFill="1" applyBorder="1" applyAlignment="1" applyProtection="1"/>
    <xf numFmtId="0" fontId="2" fillId="10" borderId="2" xfId="0" applyFont="1" applyFill="1" applyBorder="1" applyProtection="1"/>
    <xf numFmtId="0" fontId="4" fillId="13" borderId="3" xfId="0" applyFont="1" applyFill="1" applyBorder="1" applyAlignment="1" applyProtection="1">
      <alignment horizontal="right" vertical="top"/>
    </xf>
    <xf numFmtId="0" fontId="6" fillId="0" borderId="0" xfId="0" applyFont="1" applyAlignment="1" applyProtection="1">
      <alignment horizontal="left" vertical="top" wrapText="1"/>
    </xf>
    <xf numFmtId="0" fontId="2" fillId="10" borderId="11" xfId="0" applyFont="1" applyFill="1" applyBorder="1" applyProtection="1"/>
    <xf numFmtId="0" fontId="2" fillId="10" borderId="0" xfId="0" applyFont="1" applyFill="1" applyBorder="1" applyProtection="1"/>
    <xf numFmtId="0" fontId="4" fillId="13" borderId="3" xfId="0" applyFont="1" applyFill="1" applyBorder="1" applyAlignment="1" applyProtection="1">
      <alignment vertical="top" wrapText="1"/>
    </xf>
    <xf numFmtId="0" fontId="4" fillId="13" borderId="4" xfId="0" applyFont="1" applyFill="1" applyBorder="1" applyAlignment="1" applyProtection="1">
      <alignment vertical="top" wrapText="1"/>
    </xf>
    <xf numFmtId="0" fontId="4" fillId="12" borderId="2" xfId="0" applyFont="1" applyFill="1" applyBorder="1" applyAlignment="1" applyProtection="1">
      <alignment horizontal="left" vertical="top" wrapText="1"/>
    </xf>
    <xf numFmtId="0" fontId="4" fillId="12" borderId="3" xfId="0" applyFont="1" applyFill="1" applyBorder="1" applyAlignment="1" applyProtection="1">
      <alignment horizontal="left" vertical="top" wrapText="1"/>
    </xf>
    <xf numFmtId="0" fontId="4" fillId="12" borderId="4"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11" fillId="0" borderId="0" xfId="0" applyFont="1" applyFill="1" applyAlignment="1" applyProtection="1">
      <alignment horizontal="left" vertical="top" wrapText="1"/>
    </xf>
    <xf numFmtId="0" fontId="4" fillId="13" borderId="1" xfId="0" applyFont="1" applyFill="1" applyBorder="1" applyAlignment="1" applyProtection="1">
      <alignment horizontal="left" vertical="top"/>
    </xf>
    <xf numFmtId="0" fontId="3" fillId="0" borderId="17" xfId="0" applyFont="1" applyBorder="1" applyAlignment="1" applyProtection="1">
      <alignment horizontal="left" vertical="top" wrapText="1"/>
    </xf>
    <xf numFmtId="0" fontId="3" fillId="0" borderId="0" xfId="0" applyFont="1" applyBorder="1" applyAlignment="1" applyProtection="1">
      <alignment horizontal="center"/>
    </xf>
    <xf numFmtId="0" fontId="4" fillId="4" borderId="13" xfId="0" applyFont="1" applyFill="1" applyBorder="1" applyAlignment="1" applyProtection="1">
      <alignment horizontal="center" vertical="center" textRotation="90"/>
    </xf>
    <xf numFmtId="0" fontId="4" fillId="4" borderId="18" xfId="0" applyFont="1" applyFill="1" applyBorder="1" applyAlignment="1" applyProtection="1">
      <alignment horizontal="center" vertical="center" textRotation="90"/>
    </xf>
    <xf numFmtId="0" fontId="4" fillId="4" borderId="14" xfId="0" applyFont="1" applyFill="1" applyBorder="1" applyAlignment="1" applyProtection="1">
      <alignment horizontal="center" vertical="center" textRotation="90"/>
    </xf>
    <xf numFmtId="0" fontId="4" fillId="7" borderId="13" xfId="0" applyFont="1" applyFill="1" applyBorder="1" applyAlignment="1" applyProtection="1">
      <alignment horizontal="center" vertical="center" textRotation="90"/>
    </xf>
    <xf numFmtId="0" fontId="4" fillId="7" borderId="18" xfId="0" applyFont="1" applyFill="1" applyBorder="1" applyAlignment="1" applyProtection="1">
      <alignment horizontal="center" vertical="center" textRotation="90"/>
    </xf>
    <xf numFmtId="0" fontId="4" fillId="7" borderId="14" xfId="0" applyFont="1" applyFill="1" applyBorder="1" applyAlignment="1" applyProtection="1">
      <alignment horizontal="center" vertical="center" textRotation="90"/>
    </xf>
    <xf numFmtId="0" fontId="26" fillId="10" borderId="7" xfId="1" applyFont="1" applyFill="1" applyBorder="1" applyAlignment="1" applyProtection="1">
      <alignment horizontal="center" vertical="center"/>
    </xf>
    <xf numFmtId="0" fontId="26" fillId="10" borderId="12" xfId="1" applyFont="1" applyFill="1" applyBorder="1" applyAlignment="1" applyProtection="1">
      <alignment horizontal="center" vertical="center"/>
    </xf>
    <xf numFmtId="0" fontId="26" fillId="10" borderId="10" xfId="1" applyFont="1" applyFill="1" applyBorder="1" applyAlignment="1" applyProtection="1">
      <alignment horizontal="center" vertical="center"/>
    </xf>
    <xf numFmtId="0" fontId="3" fillId="0" borderId="0" xfId="0" applyFont="1" applyFill="1" applyAlignment="1" applyProtection="1">
      <alignment horizontal="center"/>
    </xf>
  </cellXfs>
  <cellStyles count="3">
    <cellStyle name="Hyperlink" xfId="1" builtinId="8"/>
    <cellStyle name="Normal" xfId="0" builtinId="0"/>
    <cellStyle name="Percent" xfId="2" builtinId="5"/>
  </cellStyles>
  <dxfs count="56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499984740745262"/>
      </font>
    </dxf>
    <dxf>
      <font>
        <color rgb="FF9C5700"/>
      </font>
      <fill>
        <patternFill>
          <bgColor rgb="FFFFEB9C"/>
        </patternFill>
      </fill>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7CE"/>
      <color rgb="FF9C0006"/>
      <color rgb="FF9C5700"/>
      <color rgb="FFFFEB9C"/>
      <color rgb="FF8DB4E2"/>
      <color rgb="FFC4BD97"/>
      <color rgb="FFFFE699"/>
      <color rgb="FFCADBD7"/>
      <color rgb="FF9C65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P$199" lockText="1" noThreeD="1"/>
</file>

<file path=xl/ctrlProps/ctrlProp10.xml><?xml version="1.0" encoding="utf-8"?>
<formControlPr xmlns="http://schemas.microsoft.com/office/spreadsheetml/2009/9/main" objectType="CheckBox" fmlaLink="$AP$23" lockText="1" noThreeD="1"/>
</file>

<file path=xl/ctrlProps/ctrlProp11.xml><?xml version="1.0" encoding="utf-8"?>
<formControlPr xmlns="http://schemas.microsoft.com/office/spreadsheetml/2009/9/main" objectType="CheckBox" fmlaLink="$AP$24" lockText="1" noThreeD="1"/>
</file>

<file path=xl/ctrlProps/ctrlProp12.xml><?xml version="1.0" encoding="utf-8"?>
<formControlPr xmlns="http://schemas.microsoft.com/office/spreadsheetml/2009/9/main" objectType="CheckBox" fmlaLink="$AQ$199" lockText="1" noThreeD="1"/>
</file>

<file path=xl/ctrlProps/ctrlProp13.xml><?xml version="1.0" encoding="utf-8"?>
<formControlPr xmlns="http://schemas.microsoft.com/office/spreadsheetml/2009/9/main" objectType="CheckBox" fmlaLink="$AP$302" lockText="1" noThreeD="1"/>
</file>

<file path=xl/ctrlProps/ctrlProp14.xml><?xml version="1.0" encoding="utf-8"?>
<formControlPr xmlns="http://schemas.microsoft.com/office/spreadsheetml/2009/9/main" objectType="CheckBox" fmlaLink="$AQ$302" lockText="1" noThreeD="1"/>
</file>

<file path=xl/ctrlProps/ctrlProp15.xml><?xml version="1.0" encoding="utf-8"?>
<formControlPr xmlns="http://schemas.microsoft.com/office/spreadsheetml/2009/9/main" objectType="CheckBox" fmlaLink="$AP$303" lockText="1" noThreeD="1"/>
</file>

<file path=xl/ctrlProps/ctrlProp16.xml><?xml version="1.0" encoding="utf-8"?>
<formControlPr xmlns="http://schemas.microsoft.com/office/spreadsheetml/2009/9/main" objectType="CheckBox" fmlaLink="$AQ$303" lockText="1" noThreeD="1"/>
</file>

<file path=xl/ctrlProps/ctrlProp2.xml><?xml version="1.0" encoding="utf-8"?>
<formControlPr xmlns="http://schemas.microsoft.com/office/spreadsheetml/2009/9/main" objectType="CheckBox" fmlaLink="$AP$26" lockText="1" noThreeD="1"/>
</file>

<file path=xl/ctrlProps/ctrlProp3.xml><?xml version="1.0" encoding="utf-8"?>
<formControlPr xmlns="http://schemas.microsoft.com/office/spreadsheetml/2009/9/main" objectType="CheckBox" fmlaLink="$AP$27" lockText="1" noThreeD="1"/>
</file>

<file path=xl/ctrlProps/ctrlProp4.xml><?xml version="1.0" encoding="utf-8"?>
<formControlPr xmlns="http://schemas.microsoft.com/office/spreadsheetml/2009/9/main" objectType="CheckBox" fmlaLink="$AP$28" lockText="1" noThreeD="1"/>
</file>

<file path=xl/ctrlProps/ctrlProp5.xml><?xml version="1.0" encoding="utf-8"?>
<formControlPr xmlns="http://schemas.microsoft.com/office/spreadsheetml/2009/9/main" objectType="CheckBox" fmlaLink="$AP$29" lockText="1" noThreeD="1"/>
</file>

<file path=xl/ctrlProps/ctrlProp6.xml><?xml version="1.0" encoding="utf-8"?>
<formControlPr xmlns="http://schemas.microsoft.com/office/spreadsheetml/2009/9/main" objectType="CheckBox" fmlaLink="$AP$30" lockText="1" noThreeD="1"/>
</file>

<file path=xl/ctrlProps/ctrlProp7.xml><?xml version="1.0" encoding="utf-8"?>
<formControlPr xmlns="http://schemas.microsoft.com/office/spreadsheetml/2009/9/main" objectType="CheckBox" fmlaLink="$AP$31" lockText="1" noThreeD="1"/>
</file>

<file path=xl/ctrlProps/ctrlProp8.xml><?xml version="1.0" encoding="utf-8"?>
<formControlPr xmlns="http://schemas.microsoft.com/office/spreadsheetml/2009/9/main" objectType="CheckBox" fmlaLink="$AP$32" lockText="1" noThreeD="1"/>
</file>

<file path=xl/ctrlProps/ctrlProp9.xml><?xml version="1.0" encoding="utf-8"?>
<formControlPr xmlns="http://schemas.microsoft.com/office/spreadsheetml/2009/9/main" objectType="CheckBox" fmlaLink="$AP$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0</xdr:colOff>
      <xdr:row>4</xdr:row>
      <xdr:rowOff>25977</xdr:rowOff>
    </xdr:to>
    <xdr:pic>
      <xdr:nvPicPr>
        <xdr:cNvPr id="3" name="Picture 2" descr="https://www.dshs.texas.gov/images/HHSDSHS-Log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57575" cy="6667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198</xdr:row>
          <xdr:rowOff>0</xdr:rowOff>
        </xdr:from>
        <xdr:to>
          <xdr:col>0</xdr:col>
          <xdr:colOff>228600</xdr:colOff>
          <xdr:row>199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0</xdr:col>
          <xdr:colOff>228600</xdr:colOff>
          <xdr:row>28</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0</xdr:col>
          <xdr:colOff>228600</xdr:colOff>
          <xdr:row>29</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228600</xdr:colOff>
          <xdr:row>30</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228600</xdr:colOff>
          <xdr:row>31</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228600</xdr:colOff>
          <xdr:row>28</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10</xdr:col>
          <xdr:colOff>228600</xdr:colOff>
          <xdr:row>29</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10</xdr:col>
          <xdr:colOff>228600</xdr:colOff>
          <xdr:row>30</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10</xdr:col>
          <xdr:colOff>228600</xdr:colOff>
          <xdr:row>31</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152400</xdr:rowOff>
        </xdr:from>
        <xdr:to>
          <xdr:col>20</xdr:col>
          <xdr:colOff>66675</xdr:colOff>
          <xdr:row>23</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133350</xdr:rowOff>
        </xdr:from>
        <xdr:to>
          <xdr:col>20</xdr:col>
          <xdr:colOff>66675</xdr:colOff>
          <xdr:row>24</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198</xdr:row>
          <xdr:rowOff>0</xdr:rowOff>
        </xdr:from>
        <xdr:to>
          <xdr:col>19</xdr:col>
          <xdr:colOff>228600</xdr:colOff>
          <xdr:row>199</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0</xdr:rowOff>
        </xdr:from>
        <xdr:to>
          <xdr:col>0</xdr:col>
          <xdr:colOff>228600</xdr:colOff>
          <xdr:row>302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301</xdr:row>
          <xdr:rowOff>0</xdr:rowOff>
        </xdr:from>
        <xdr:to>
          <xdr:col>19</xdr:col>
          <xdr:colOff>228600</xdr:colOff>
          <xdr:row>302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302</xdr:row>
          <xdr:rowOff>0</xdr:rowOff>
        </xdr:from>
        <xdr:to>
          <xdr:col>0</xdr:col>
          <xdr:colOff>228600</xdr:colOff>
          <xdr:row>303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302</xdr:row>
          <xdr:rowOff>0</xdr:rowOff>
        </xdr:from>
        <xdr:to>
          <xdr:col>19</xdr:col>
          <xdr:colOff>228600</xdr:colOff>
          <xdr:row>303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U565"/>
  <sheetViews>
    <sheetView showGridLines="0" tabSelected="1" showRuler="0" view="pageLayout" zoomScaleNormal="100" workbookViewId="0">
      <selection activeCell="T14" sqref="T14:AL14"/>
    </sheetView>
  </sheetViews>
  <sheetFormatPr defaultColWidth="7.8984375" defaultRowHeight="15" x14ac:dyDescent="0.2"/>
  <cols>
    <col min="1" max="32" width="2.5" style="1" customWidth="1"/>
    <col min="33" max="38" width="2.5" style="214" customWidth="1"/>
    <col min="39" max="54" width="4.69921875" style="1" hidden="1" customWidth="1"/>
    <col min="55" max="55" width="93.69921875" style="1" hidden="1" customWidth="1"/>
    <col min="56" max="59" width="22.796875" style="1" hidden="1" customWidth="1"/>
    <col min="60" max="16384" width="7.8984375" style="1"/>
  </cols>
  <sheetData>
    <row r="1" spans="1:59" ht="12.75" x14ac:dyDescent="0.2">
      <c r="AG1" s="192"/>
      <c r="AH1" s="192"/>
      <c r="AI1" s="192"/>
      <c r="AJ1" s="192"/>
      <c r="AK1" s="192"/>
      <c r="AL1" s="192"/>
      <c r="BG1" s="231"/>
    </row>
    <row r="2" spans="1:59" ht="12.75" x14ac:dyDescent="0.2">
      <c r="AG2" s="192"/>
      <c r="AH2" s="192"/>
      <c r="AI2" s="192"/>
      <c r="AJ2" s="192"/>
      <c r="AK2" s="192"/>
      <c r="AL2" s="192"/>
    </row>
    <row r="3" spans="1:59" ht="12.75" x14ac:dyDescent="0.2">
      <c r="AG3" s="192"/>
      <c r="AH3" s="192"/>
      <c r="AI3" s="192"/>
      <c r="AJ3" s="192"/>
      <c r="AK3" s="192"/>
      <c r="AL3" s="192"/>
    </row>
    <row r="4" spans="1:59" ht="12.75" x14ac:dyDescent="0.2">
      <c r="AG4" s="192"/>
      <c r="AH4" s="192"/>
      <c r="AI4" s="192"/>
      <c r="AJ4" s="192"/>
      <c r="AK4" s="192"/>
      <c r="AL4" s="192"/>
    </row>
    <row r="5" spans="1:59" ht="12.75" x14ac:dyDescent="0.2">
      <c r="AG5" s="192"/>
      <c r="AH5" s="192"/>
      <c r="AI5" s="192"/>
      <c r="AJ5" s="192"/>
      <c r="AK5" s="192"/>
      <c r="AL5" s="192"/>
    </row>
    <row r="6" spans="1:59" ht="12.75" x14ac:dyDescent="0.2">
      <c r="AG6" s="192"/>
      <c r="AH6" s="192"/>
      <c r="AI6" s="192"/>
      <c r="AJ6" s="192"/>
      <c r="AK6" s="192"/>
      <c r="AL6" s="192"/>
      <c r="AR6" s="90" t="s">
        <v>364</v>
      </c>
    </row>
    <row r="7" spans="1:59" ht="12.75" x14ac:dyDescent="0.2">
      <c r="AG7" s="192"/>
      <c r="AH7" s="192"/>
      <c r="AI7" s="192"/>
      <c r="AJ7" s="192"/>
      <c r="AK7" s="192"/>
      <c r="AL7" s="192"/>
      <c r="AR7" s="141">
        <f>IF(AND(AQ23=1,AP41=1,AP121=1,AP153=1,AP201=1,AX23=0),1,IF(AND(AQ24=1,AP41=1,AP153=1,AP201=1,AP240=1,AP270=1,AP305=1,AU355=1,AU402=1,AU449=1,AU475=1,AU510=1,AO559=1),1,0))</f>
        <v>0</v>
      </c>
    </row>
    <row r="8" spans="1:59" ht="18.75" x14ac:dyDescent="0.3">
      <c r="A8" s="82" t="s">
        <v>0</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193"/>
      <c r="AH8" s="193"/>
      <c r="AI8" s="193"/>
      <c r="AJ8" s="193"/>
      <c r="AK8" s="193"/>
      <c r="AL8" s="193"/>
    </row>
    <row r="9" spans="1:59" ht="15.75" x14ac:dyDescent="0.25">
      <c r="A9" s="83" t="s">
        <v>1</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193"/>
      <c r="AH9" s="193"/>
      <c r="AI9" s="193"/>
      <c r="AJ9" s="193"/>
      <c r="AK9" s="193"/>
      <c r="AL9" s="193"/>
    </row>
    <row r="10" spans="1:59" ht="15.75" x14ac:dyDescent="0.25">
      <c r="A10" s="83" t="s">
        <v>2</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193"/>
      <c r="AH10" s="193"/>
      <c r="AI10" s="193"/>
      <c r="AJ10" s="193"/>
      <c r="AK10" s="193"/>
      <c r="AL10" s="193"/>
    </row>
    <row r="11" spans="1:59" ht="12.75" x14ac:dyDescent="0.2">
      <c r="A11" s="138"/>
      <c r="B11" s="138"/>
      <c r="C11" s="138"/>
      <c r="D11" s="138"/>
      <c r="E11" s="138"/>
      <c r="F11" s="138"/>
      <c r="G11" s="138"/>
      <c r="H11" s="138"/>
      <c r="I11" s="138"/>
      <c r="J11" s="138"/>
      <c r="K11" s="138"/>
      <c r="L11" s="138"/>
      <c r="M11" s="138"/>
      <c r="N11" s="138"/>
      <c r="O11" s="138"/>
      <c r="P11" s="138"/>
      <c r="Q11" s="138"/>
      <c r="R11" s="138"/>
      <c r="S11" s="138"/>
      <c r="T11" s="138"/>
      <c r="AG11" s="192"/>
      <c r="AH11" s="192"/>
      <c r="AI11" s="192"/>
      <c r="AJ11" s="192"/>
      <c r="AK11" s="192"/>
      <c r="AL11" s="192"/>
    </row>
    <row r="12" spans="1:59" s="4" customFormat="1" ht="11.25" x14ac:dyDescent="0.2">
      <c r="A12" s="125" t="s">
        <v>3</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94"/>
      <c r="AH12" s="194"/>
      <c r="AI12" s="194"/>
      <c r="AJ12" s="194"/>
      <c r="AK12" s="194"/>
      <c r="AL12" s="195"/>
      <c r="AT12" s="53" t="s">
        <v>372</v>
      </c>
      <c r="AU12" s="53"/>
    </row>
    <row r="13" spans="1:59" s="4" customFormat="1" ht="11.25" x14ac:dyDescent="0.2">
      <c r="A13" s="79" t="s">
        <v>4</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196"/>
      <c r="AH13" s="196"/>
      <c r="AI13" s="196"/>
      <c r="AJ13" s="196"/>
      <c r="AK13" s="196"/>
      <c r="AL13" s="197"/>
      <c r="AM13" s="198" t="s">
        <v>109</v>
      </c>
      <c r="AN13" s="199" t="s">
        <v>20</v>
      </c>
      <c r="AO13" s="199" t="s">
        <v>349</v>
      </c>
      <c r="AR13" s="53" t="s">
        <v>350</v>
      </c>
      <c r="AS13" s="53" t="s">
        <v>362</v>
      </c>
      <c r="AT13" s="53" t="s">
        <v>362</v>
      </c>
      <c r="AU13" s="53"/>
    </row>
    <row r="14" spans="1:59" s="4" customFormat="1" ht="11.25" x14ac:dyDescent="0.2">
      <c r="A14" s="173" t="s">
        <v>5</v>
      </c>
      <c r="B14" s="174"/>
      <c r="C14" s="174"/>
      <c r="D14" s="174"/>
      <c r="E14" s="174"/>
      <c r="F14" s="174"/>
      <c r="G14" s="174"/>
      <c r="H14" s="174"/>
      <c r="I14" s="174"/>
      <c r="J14" s="174"/>
      <c r="K14" s="174"/>
      <c r="L14" s="174"/>
      <c r="M14" s="174"/>
      <c r="N14" s="174"/>
      <c r="O14" s="174"/>
      <c r="P14" s="174"/>
      <c r="Q14" s="174"/>
      <c r="R14" s="174"/>
      <c r="S14" s="175"/>
      <c r="T14" s="337"/>
      <c r="U14" s="337"/>
      <c r="V14" s="337"/>
      <c r="W14" s="337"/>
      <c r="X14" s="337"/>
      <c r="Y14" s="337"/>
      <c r="Z14" s="337"/>
      <c r="AA14" s="337"/>
      <c r="AB14" s="337"/>
      <c r="AC14" s="337"/>
      <c r="AD14" s="337"/>
      <c r="AE14" s="337"/>
      <c r="AF14" s="337"/>
      <c r="AG14" s="337"/>
      <c r="AH14" s="337"/>
      <c r="AI14" s="337"/>
      <c r="AJ14" s="337"/>
      <c r="AK14" s="337"/>
      <c r="AL14" s="337"/>
      <c r="AM14" s="200"/>
      <c r="AN14" s="201"/>
      <c r="AO14" s="201"/>
      <c r="AR14" s="4">
        <f t="shared" ref="AR14:AR21" si="0">IF(T14="",0,1)</f>
        <v>0</v>
      </c>
      <c r="BC14" s="179"/>
    </row>
    <row r="15" spans="1:59" s="4" customFormat="1" ht="11.25" x14ac:dyDescent="0.2">
      <c r="A15" s="173" t="s">
        <v>6</v>
      </c>
      <c r="B15" s="174"/>
      <c r="C15" s="174"/>
      <c r="D15" s="174"/>
      <c r="E15" s="174"/>
      <c r="F15" s="174"/>
      <c r="G15" s="174"/>
      <c r="H15" s="174"/>
      <c r="I15" s="174"/>
      <c r="J15" s="174"/>
      <c r="K15" s="174"/>
      <c r="L15" s="174"/>
      <c r="M15" s="174"/>
      <c r="N15" s="174"/>
      <c r="O15" s="174"/>
      <c r="P15" s="174"/>
      <c r="Q15" s="174"/>
      <c r="R15" s="174"/>
      <c r="S15" s="175"/>
      <c r="T15" s="337"/>
      <c r="U15" s="337"/>
      <c r="V15" s="337"/>
      <c r="W15" s="337"/>
      <c r="X15" s="337"/>
      <c r="Y15" s="337"/>
      <c r="Z15" s="337"/>
      <c r="AA15" s="337"/>
      <c r="AB15" s="337"/>
      <c r="AC15" s="337"/>
      <c r="AD15" s="337"/>
      <c r="AE15" s="337"/>
      <c r="AF15" s="337"/>
      <c r="AG15" s="337"/>
      <c r="AH15" s="337"/>
      <c r="AI15" s="337"/>
      <c r="AJ15" s="337"/>
      <c r="AK15" s="337"/>
      <c r="AL15" s="337"/>
      <c r="AM15" s="202" t="s">
        <v>110</v>
      </c>
      <c r="AN15" s="203" t="s">
        <v>355</v>
      </c>
      <c r="AO15" s="203" t="s">
        <v>219</v>
      </c>
      <c r="AR15" s="4">
        <f t="shared" si="0"/>
        <v>0</v>
      </c>
      <c r="BC15" s="179"/>
    </row>
    <row r="16" spans="1:59" s="4" customFormat="1" ht="11.25" x14ac:dyDescent="0.2">
      <c r="A16" s="173" t="s">
        <v>7</v>
      </c>
      <c r="B16" s="174"/>
      <c r="C16" s="174"/>
      <c r="D16" s="174"/>
      <c r="E16" s="174"/>
      <c r="F16" s="174"/>
      <c r="G16" s="174"/>
      <c r="H16" s="174"/>
      <c r="I16" s="174"/>
      <c r="J16" s="174"/>
      <c r="K16" s="174"/>
      <c r="L16" s="174"/>
      <c r="M16" s="174"/>
      <c r="N16" s="174"/>
      <c r="O16" s="174"/>
      <c r="P16" s="174"/>
      <c r="Q16" s="174"/>
      <c r="R16" s="174"/>
      <c r="S16" s="175"/>
      <c r="T16" s="337"/>
      <c r="U16" s="337"/>
      <c r="V16" s="337"/>
      <c r="W16" s="337"/>
      <c r="X16" s="337"/>
      <c r="Y16" s="337"/>
      <c r="Z16" s="337"/>
      <c r="AA16" s="337"/>
      <c r="AB16" s="337"/>
      <c r="AC16" s="337"/>
      <c r="AD16" s="337"/>
      <c r="AE16" s="337"/>
      <c r="AF16" s="337"/>
      <c r="AG16" s="337"/>
      <c r="AH16" s="337"/>
      <c r="AI16" s="337"/>
      <c r="AJ16" s="337"/>
      <c r="AK16" s="337"/>
      <c r="AL16" s="337"/>
      <c r="AM16" s="204" t="s">
        <v>111</v>
      </c>
      <c r="AN16" s="201" t="s">
        <v>354</v>
      </c>
      <c r="AO16" s="205" t="s">
        <v>220</v>
      </c>
      <c r="AR16" s="4">
        <f t="shared" si="0"/>
        <v>0</v>
      </c>
      <c r="BC16" s="179"/>
    </row>
    <row r="17" spans="1:55" s="4" customFormat="1" ht="11.25" x14ac:dyDescent="0.2">
      <c r="A17" s="173" t="s">
        <v>155</v>
      </c>
      <c r="B17" s="174"/>
      <c r="C17" s="174"/>
      <c r="D17" s="174"/>
      <c r="E17" s="174"/>
      <c r="F17" s="174"/>
      <c r="G17" s="174"/>
      <c r="H17" s="174"/>
      <c r="I17" s="174"/>
      <c r="J17" s="174"/>
      <c r="K17" s="174"/>
      <c r="L17" s="174"/>
      <c r="M17" s="174"/>
      <c r="N17" s="174"/>
      <c r="O17" s="174"/>
      <c r="P17" s="174"/>
      <c r="Q17" s="174"/>
      <c r="R17" s="174"/>
      <c r="S17" s="175"/>
      <c r="T17" s="337"/>
      <c r="U17" s="337"/>
      <c r="V17" s="337"/>
      <c r="W17" s="337"/>
      <c r="X17" s="337"/>
      <c r="Y17" s="337"/>
      <c r="Z17" s="337"/>
      <c r="AA17" s="337"/>
      <c r="AB17" s="337"/>
      <c r="AC17" s="337"/>
      <c r="AD17" s="337"/>
      <c r="AE17" s="337"/>
      <c r="AF17" s="337"/>
      <c r="AG17" s="337"/>
      <c r="AH17" s="337"/>
      <c r="AI17" s="337"/>
      <c r="AJ17" s="337"/>
      <c r="AK17" s="337"/>
      <c r="AL17" s="337"/>
      <c r="AM17" s="202" t="s">
        <v>112</v>
      </c>
      <c r="AN17" s="203" t="s">
        <v>353</v>
      </c>
      <c r="AR17" s="4">
        <f t="shared" si="0"/>
        <v>0</v>
      </c>
      <c r="BC17" s="179"/>
    </row>
    <row r="18" spans="1:55" s="4" customFormat="1" ht="11.25" x14ac:dyDescent="0.2">
      <c r="A18" s="173" t="s">
        <v>8</v>
      </c>
      <c r="B18" s="174"/>
      <c r="C18" s="174"/>
      <c r="D18" s="174"/>
      <c r="E18" s="174"/>
      <c r="F18" s="174"/>
      <c r="G18" s="174"/>
      <c r="H18" s="174"/>
      <c r="I18" s="174"/>
      <c r="J18" s="174"/>
      <c r="K18" s="174"/>
      <c r="L18" s="174"/>
      <c r="M18" s="174"/>
      <c r="N18" s="174"/>
      <c r="O18" s="174"/>
      <c r="P18" s="174"/>
      <c r="Q18" s="174"/>
      <c r="R18" s="174"/>
      <c r="S18" s="175"/>
      <c r="T18" s="337"/>
      <c r="U18" s="337"/>
      <c r="V18" s="337"/>
      <c r="W18" s="337"/>
      <c r="X18" s="337"/>
      <c r="Y18" s="337"/>
      <c r="Z18" s="337"/>
      <c r="AA18" s="337"/>
      <c r="AB18" s="337"/>
      <c r="AC18" s="337"/>
      <c r="AD18" s="337"/>
      <c r="AE18" s="337"/>
      <c r="AF18" s="337"/>
      <c r="AG18" s="337"/>
      <c r="AH18" s="337"/>
      <c r="AI18" s="337"/>
      <c r="AJ18" s="337"/>
      <c r="AK18" s="337"/>
      <c r="AL18" s="337"/>
      <c r="AM18" s="204" t="s">
        <v>113</v>
      </c>
      <c r="AN18" s="201" t="s">
        <v>352</v>
      </c>
      <c r="AR18" s="4">
        <f t="shared" si="0"/>
        <v>0</v>
      </c>
      <c r="AV18" s="10"/>
      <c r="BC18" s="179"/>
    </row>
    <row r="19" spans="1:55" s="4" customFormat="1" ht="11.25" x14ac:dyDescent="0.2">
      <c r="A19" s="173" t="s">
        <v>9</v>
      </c>
      <c r="B19" s="174"/>
      <c r="C19" s="174"/>
      <c r="D19" s="174"/>
      <c r="E19" s="174"/>
      <c r="F19" s="174"/>
      <c r="G19" s="174"/>
      <c r="H19" s="174"/>
      <c r="I19" s="174"/>
      <c r="J19" s="174"/>
      <c r="K19" s="174"/>
      <c r="L19" s="174"/>
      <c r="M19" s="174"/>
      <c r="N19" s="174"/>
      <c r="O19" s="174"/>
      <c r="P19" s="174"/>
      <c r="Q19" s="174"/>
      <c r="R19" s="174"/>
      <c r="S19" s="175"/>
      <c r="T19" s="337"/>
      <c r="U19" s="337"/>
      <c r="V19" s="337"/>
      <c r="W19" s="337"/>
      <c r="X19" s="337"/>
      <c r="Y19" s="337"/>
      <c r="Z19" s="337"/>
      <c r="AA19" s="337"/>
      <c r="AB19" s="337"/>
      <c r="AC19" s="337"/>
      <c r="AD19" s="337"/>
      <c r="AE19" s="337"/>
      <c r="AF19" s="337"/>
      <c r="AG19" s="337"/>
      <c r="AH19" s="337"/>
      <c r="AI19" s="337"/>
      <c r="AJ19" s="337"/>
      <c r="AK19" s="337"/>
      <c r="AL19" s="337"/>
      <c r="AM19" s="202" t="s">
        <v>114</v>
      </c>
      <c r="AN19" s="203" t="s">
        <v>356</v>
      </c>
      <c r="AR19" s="4">
        <f t="shared" si="0"/>
        <v>0</v>
      </c>
      <c r="AV19" s="10"/>
      <c r="BC19" s="179"/>
    </row>
    <row r="20" spans="1:55" s="4" customFormat="1" ht="11.25" x14ac:dyDescent="0.2">
      <c r="A20" s="173" t="s">
        <v>10</v>
      </c>
      <c r="B20" s="174"/>
      <c r="C20" s="174"/>
      <c r="D20" s="174"/>
      <c r="E20" s="174"/>
      <c r="F20" s="174"/>
      <c r="G20" s="174"/>
      <c r="H20" s="174"/>
      <c r="I20" s="174"/>
      <c r="J20" s="174"/>
      <c r="K20" s="174"/>
      <c r="L20" s="174"/>
      <c r="M20" s="174"/>
      <c r="N20" s="174"/>
      <c r="O20" s="174"/>
      <c r="P20" s="174"/>
      <c r="Q20" s="174"/>
      <c r="R20" s="174"/>
      <c r="S20" s="175"/>
      <c r="T20" s="337"/>
      <c r="U20" s="337"/>
      <c r="V20" s="337"/>
      <c r="W20" s="337"/>
      <c r="X20" s="337"/>
      <c r="Y20" s="337"/>
      <c r="Z20" s="337"/>
      <c r="AA20" s="337"/>
      <c r="AB20" s="337"/>
      <c r="AC20" s="337"/>
      <c r="AD20" s="337"/>
      <c r="AE20" s="337"/>
      <c r="AF20" s="337"/>
      <c r="AG20" s="337"/>
      <c r="AH20" s="337"/>
      <c r="AI20" s="337"/>
      <c r="AJ20" s="337"/>
      <c r="AK20" s="337"/>
      <c r="AL20" s="337"/>
      <c r="AM20" s="204" t="s">
        <v>115</v>
      </c>
      <c r="AN20" s="205" t="s">
        <v>351</v>
      </c>
      <c r="AR20" s="4">
        <f t="shared" si="0"/>
        <v>0</v>
      </c>
      <c r="AV20" s="10"/>
      <c r="BC20" s="179"/>
    </row>
    <row r="21" spans="1:55" s="4" customFormat="1" ht="11.25" x14ac:dyDescent="0.2">
      <c r="A21" s="173" t="s">
        <v>345</v>
      </c>
      <c r="B21" s="174"/>
      <c r="C21" s="174"/>
      <c r="D21" s="174"/>
      <c r="E21" s="174"/>
      <c r="F21" s="174"/>
      <c r="G21" s="174"/>
      <c r="H21" s="174"/>
      <c r="I21" s="174"/>
      <c r="J21" s="174"/>
      <c r="K21" s="174"/>
      <c r="L21" s="174"/>
      <c r="M21" s="174"/>
      <c r="N21" s="174"/>
      <c r="O21" s="174"/>
      <c r="P21" s="174"/>
      <c r="Q21" s="174"/>
      <c r="R21" s="174"/>
      <c r="S21" s="175"/>
      <c r="T21" s="338"/>
      <c r="U21" s="338"/>
      <c r="V21" s="338"/>
      <c r="W21" s="338"/>
      <c r="X21" s="338"/>
      <c r="Y21" s="338"/>
      <c r="Z21" s="338"/>
      <c r="AA21" s="338"/>
      <c r="AB21" s="338"/>
      <c r="AC21" s="338"/>
      <c r="AD21" s="338"/>
      <c r="AE21" s="338"/>
      <c r="AF21" s="338"/>
      <c r="AG21" s="338"/>
      <c r="AH21" s="338"/>
      <c r="AI21" s="338"/>
      <c r="AJ21" s="338"/>
      <c r="AK21" s="338"/>
      <c r="AL21" s="338"/>
      <c r="AM21" s="206" t="s">
        <v>116</v>
      </c>
      <c r="AR21" s="4">
        <f t="shared" si="0"/>
        <v>0</v>
      </c>
      <c r="BC21" s="179"/>
    </row>
    <row r="22" spans="1:55" s="4" customFormat="1" ht="11.25" x14ac:dyDescent="0.2">
      <c r="A22" s="79" t="s">
        <v>168</v>
      </c>
      <c r="B22" s="23"/>
      <c r="C22" s="23"/>
      <c r="D22" s="23"/>
      <c r="E22" s="23"/>
      <c r="F22" s="23"/>
      <c r="G22" s="23"/>
      <c r="H22" s="23"/>
      <c r="I22" s="23"/>
      <c r="J22" s="23"/>
      <c r="K22" s="23"/>
      <c r="L22" s="23"/>
      <c r="M22" s="23"/>
      <c r="N22" s="23"/>
      <c r="O22" s="23"/>
      <c r="P22" s="23"/>
      <c r="Q22" s="23"/>
      <c r="R22" s="23"/>
      <c r="S22" s="24"/>
      <c r="T22" s="79" t="s">
        <v>321</v>
      </c>
      <c r="U22" s="23"/>
      <c r="V22" s="23"/>
      <c r="W22" s="23"/>
      <c r="X22" s="23"/>
      <c r="Y22" s="23"/>
      <c r="Z22" s="23"/>
      <c r="AA22" s="23"/>
      <c r="AB22" s="23"/>
      <c r="AC22" s="23"/>
      <c r="AD22" s="23"/>
      <c r="AE22" s="23"/>
      <c r="AF22" s="23"/>
      <c r="AG22" s="23"/>
      <c r="AH22" s="23"/>
      <c r="AI22" s="23"/>
      <c r="AJ22" s="23"/>
      <c r="AK22" s="23"/>
      <c r="AL22" s="24"/>
      <c r="AM22" s="207" t="s">
        <v>117</v>
      </c>
      <c r="AP22" s="136" t="s">
        <v>346</v>
      </c>
      <c r="AV22" s="164" t="s">
        <v>489</v>
      </c>
      <c r="AX22" s="4" t="s">
        <v>495</v>
      </c>
      <c r="BC22" s="10"/>
    </row>
    <row r="23" spans="1:55" s="4" customFormat="1" ht="11.25" x14ac:dyDescent="0.2">
      <c r="A23" s="173" t="s">
        <v>97</v>
      </c>
      <c r="B23" s="174"/>
      <c r="C23" s="174"/>
      <c r="D23" s="174"/>
      <c r="E23" s="174"/>
      <c r="F23" s="174"/>
      <c r="G23" s="174"/>
      <c r="H23" s="174"/>
      <c r="I23" s="174"/>
      <c r="J23" s="174"/>
      <c r="K23" s="173" t="s">
        <v>157</v>
      </c>
      <c r="L23" s="174"/>
      <c r="M23" s="174"/>
      <c r="N23" s="174"/>
      <c r="O23" s="174"/>
      <c r="P23" s="174"/>
      <c r="Q23" s="174"/>
      <c r="R23" s="174"/>
      <c r="S23" s="175"/>
      <c r="T23" s="32"/>
      <c r="U23" s="174" t="s">
        <v>11</v>
      </c>
      <c r="V23" s="174"/>
      <c r="W23" s="174"/>
      <c r="X23" s="174"/>
      <c r="Y23" s="174" t="s">
        <v>335</v>
      </c>
      <c r="Z23" s="174"/>
      <c r="AA23" s="174"/>
      <c r="AB23" s="174"/>
      <c r="AC23" s="174"/>
      <c r="AD23" s="174" t="s">
        <v>99</v>
      </c>
      <c r="AE23" s="174"/>
      <c r="AF23" s="174"/>
      <c r="AG23" s="174" t="s">
        <v>337</v>
      </c>
      <c r="AH23" s="174"/>
      <c r="AI23" s="174"/>
      <c r="AJ23" s="174"/>
      <c r="AK23" s="174"/>
      <c r="AL23" s="175"/>
      <c r="AM23" s="206" t="s">
        <v>118</v>
      </c>
      <c r="AP23" s="189" t="b">
        <v>0</v>
      </c>
      <c r="AQ23" s="4">
        <f>IF(AP23=FALSE,0,1)</f>
        <v>0</v>
      </c>
      <c r="AR23" s="4">
        <f>IF(AND(AP23=FALSE,AP24=FALSE),0,1)</f>
        <v>0</v>
      </c>
      <c r="AS23" s="4">
        <f>IF(SUM(AQ23:AQ24)&gt;1,1,0)</f>
        <v>0</v>
      </c>
      <c r="AV23" s="163">
        <f>IF(AQ23=1,1,0)</f>
        <v>0</v>
      </c>
      <c r="AX23" s="143">
        <f>IF(AND(AQ23=1,SUM(BB240+BB270+BB305+BB355+BB402+BB449+BB475+BB487+BB559)&gt;0),1,0)</f>
        <v>0</v>
      </c>
    </row>
    <row r="24" spans="1:55" s="4" customFormat="1" ht="11.25" x14ac:dyDescent="0.2">
      <c r="A24" s="173" t="s">
        <v>98</v>
      </c>
      <c r="B24" s="174"/>
      <c r="C24" s="174"/>
      <c r="D24" s="174"/>
      <c r="E24" s="174"/>
      <c r="F24" s="174"/>
      <c r="G24" s="174"/>
      <c r="H24" s="174"/>
      <c r="I24" s="174"/>
      <c r="J24" s="174"/>
      <c r="K24" s="173" t="s">
        <v>156</v>
      </c>
      <c r="L24" s="174"/>
      <c r="M24" s="174"/>
      <c r="N24" s="174"/>
      <c r="O24" s="174"/>
      <c r="P24" s="174"/>
      <c r="Q24" s="174"/>
      <c r="R24" s="174"/>
      <c r="S24" s="175"/>
      <c r="T24" s="32"/>
      <c r="U24" s="174" t="s">
        <v>361</v>
      </c>
      <c r="V24" s="174"/>
      <c r="W24" s="174"/>
      <c r="X24" s="174"/>
      <c r="Y24" s="174" t="s">
        <v>336</v>
      </c>
      <c r="Z24" s="174"/>
      <c r="AA24" s="174"/>
      <c r="AB24" s="174"/>
      <c r="AC24" s="174"/>
      <c r="AD24" s="173" t="s">
        <v>99</v>
      </c>
      <c r="AE24" s="174"/>
      <c r="AF24" s="174"/>
      <c r="AG24" s="174" t="s">
        <v>338</v>
      </c>
      <c r="AH24" s="174"/>
      <c r="AI24" s="174"/>
      <c r="AJ24" s="174"/>
      <c r="AK24" s="174"/>
      <c r="AL24" s="175"/>
      <c r="AM24" s="207" t="s">
        <v>119</v>
      </c>
      <c r="AP24" s="189" t="b">
        <v>0</v>
      </c>
      <c r="AQ24" s="4">
        <f>IF(AP24=FALSE,0,1)</f>
        <v>0</v>
      </c>
    </row>
    <row r="25" spans="1:55" s="4" customFormat="1" ht="11.25" x14ac:dyDescent="0.2">
      <c r="AM25" s="203" t="s">
        <v>120</v>
      </c>
    </row>
    <row r="26" spans="1:55" s="4" customFormat="1" ht="11.25" x14ac:dyDescent="0.2">
      <c r="A26" s="56" t="s">
        <v>330</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9"/>
      <c r="AM26" s="207" t="s">
        <v>121</v>
      </c>
      <c r="AO26" s="137" t="s">
        <v>15</v>
      </c>
      <c r="AP26" s="190" t="b">
        <v>0</v>
      </c>
      <c r="AQ26" s="4">
        <f t="shared" ref="AQ26:AQ33" si="1">IF(AP26=FALSE,0,1)</f>
        <v>0</v>
      </c>
      <c r="AR26" s="4">
        <f>IF(AND(AP26=FALSE,AP27=FALSE,AP28=FALSE,AP29=FALSE,AP30=FALSE,AP31=FALSE,AP32=FALSE,AP33=FALSE),0,1)</f>
        <v>0</v>
      </c>
    </row>
    <row r="27" spans="1:55" s="4" customFormat="1" ht="11.25" x14ac:dyDescent="0.2">
      <c r="A27" s="39" t="s">
        <v>334</v>
      </c>
      <c r="B27" s="22"/>
      <c r="C27" s="22"/>
      <c r="D27" s="22"/>
      <c r="E27" s="22"/>
      <c r="F27" s="22"/>
      <c r="G27" s="22"/>
      <c r="H27" s="22"/>
      <c r="I27" s="22"/>
      <c r="J27" s="22"/>
      <c r="K27" s="22"/>
      <c r="L27" s="22"/>
      <c r="M27" s="22"/>
      <c r="N27" s="22"/>
      <c r="O27" s="22"/>
      <c r="P27" s="22"/>
      <c r="Q27" s="22"/>
      <c r="R27" s="22"/>
      <c r="S27" s="30"/>
      <c r="T27" s="33" t="s">
        <v>142</v>
      </c>
      <c r="U27" s="23"/>
      <c r="V27" s="23"/>
      <c r="W27" s="23"/>
      <c r="X27" s="23"/>
      <c r="Y27" s="23"/>
      <c r="Z27" s="23"/>
      <c r="AA27" s="23"/>
      <c r="AB27" s="23"/>
      <c r="AC27" s="23"/>
      <c r="AD27" s="23"/>
      <c r="AE27" s="23"/>
      <c r="AF27" s="23"/>
      <c r="AG27" s="23"/>
      <c r="AH27" s="23"/>
      <c r="AI27" s="23"/>
      <c r="AJ27" s="23"/>
      <c r="AK27" s="23"/>
      <c r="AL27" s="24"/>
      <c r="AM27" s="206" t="s">
        <v>122</v>
      </c>
      <c r="AO27" s="137" t="s">
        <v>16</v>
      </c>
      <c r="AP27" s="190" t="b">
        <v>0</v>
      </c>
      <c r="AQ27" s="4">
        <f t="shared" si="1"/>
        <v>0</v>
      </c>
    </row>
    <row r="28" spans="1:55" s="4" customFormat="1" ht="11.25" x14ac:dyDescent="0.2">
      <c r="A28" s="32"/>
      <c r="B28" s="57" t="s">
        <v>323</v>
      </c>
      <c r="C28" s="57"/>
      <c r="D28" s="57"/>
      <c r="E28" s="57"/>
      <c r="F28" s="57"/>
      <c r="G28" s="57"/>
      <c r="H28" s="57"/>
      <c r="I28" s="57"/>
      <c r="J28" s="58"/>
      <c r="K28" s="32"/>
      <c r="L28" s="57" t="s">
        <v>327</v>
      </c>
      <c r="M28" s="57"/>
      <c r="N28" s="57"/>
      <c r="O28" s="57"/>
      <c r="P28" s="57"/>
      <c r="Q28" s="57"/>
      <c r="R28" s="57"/>
      <c r="S28" s="408" t="s">
        <v>535</v>
      </c>
      <c r="T28" s="57" t="s">
        <v>331</v>
      </c>
      <c r="U28" s="57"/>
      <c r="V28" s="57"/>
      <c r="W28" s="57"/>
      <c r="X28" s="57"/>
      <c r="Y28" s="57"/>
      <c r="Z28" s="57"/>
      <c r="AA28" s="57"/>
      <c r="AB28" s="57"/>
      <c r="AC28" s="57"/>
      <c r="AD28" s="57"/>
      <c r="AE28" s="57"/>
      <c r="AF28" s="57"/>
      <c r="AG28" s="57"/>
      <c r="AH28" s="57"/>
      <c r="AI28" s="57"/>
      <c r="AJ28" s="286"/>
      <c r="AK28" s="287"/>
      <c r="AL28" s="288"/>
      <c r="AM28" s="207" t="s">
        <v>123</v>
      </c>
      <c r="AO28" s="137" t="s">
        <v>140</v>
      </c>
      <c r="AP28" s="190" t="b">
        <v>0</v>
      </c>
      <c r="AQ28" s="4">
        <f t="shared" si="1"/>
        <v>0</v>
      </c>
      <c r="AR28" s="4">
        <f>IF(AJ28="",0,1)</f>
        <v>0</v>
      </c>
      <c r="AS28" s="4">
        <f>IF(AND(AJ28="Yes",SUM(AQ26:AQ29)&lt;2),1,0)</f>
        <v>0</v>
      </c>
      <c r="AT28" s="4">
        <f>IF(AND(AJ28="No",AJ29="Yes"),1,0)</f>
        <v>0</v>
      </c>
    </row>
    <row r="29" spans="1:55" s="4" customFormat="1" ht="11.25" x14ac:dyDescent="0.2">
      <c r="A29" s="177"/>
      <c r="B29" s="178" t="s">
        <v>324</v>
      </c>
      <c r="C29" s="178"/>
      <c r="D29" s="178"/>
      <c r="E29" s="178"/>
      <c r="F29" s="178"/>
      <c r="G29" s="178"/>
      <c r="H29" s="178"/>
      <c r="I29" s="178"/>
      <c r="J29" s="55"/>
      <c r="K29" s="177"/>
      <c r="L29" s="178" t="s">
        <v>328</v>
      </c>
      <c r="M29" s="178"/>
      <c r="N29" s="178"/>
      <c r="O29" s="178"/>
      <c r="P29" s="178"/>
      <c r="Q29" s="178"/>
      <c r="R29" s="178"/>
      <c r="S29" s="409"/>
      <c r="T29" s="178" t="s">
        <v>332</v>
      </c>
      <c r="U29" s="178"/>
      <c r="V29" s="178"/>
      <c r="W29" s="178"/>
      <c r="X29" s="178"/>
      <c r="Y29" s="178"/>
      <c r="Z29" s="178"/>
      <c r="AA29" s="178"/>
      <c r="AB29" s="178"/>
      <c r="AC29" s="178"/>
      <c r="AD29" s="178"/>
      <c r="AE29" s="178"/>
      <c r="AF29" s="178"/>
      <c r="AG29" s="208"/>
      <c r="AH29" s="208"/>
      <c r="AI29" s="208"/>
      <c r="AJ29" s="286"/>
      <c r="AK29" s="287"/>
      <c r="AL29" s="288"/>
      <c r="AM29" s="206" t="s">
        <v>124</v>
      </c>
      <c r="AO29" s="137" t="s">
        <v>17</v>
      </c>
      <c r="AP29" s="190" t="b">
        <v>0</v>
      </c>
      <c r="AQ29" s="4">
        <f t="shared" si="1"/>
        <v>0</v>
      </c>
      <c r="AR29" s="4">
        <f>IF(AJ29="",0,1)</f>
        <v>0</v>
      </c>
      <c r="AS29" s="4">
        <f>IF(AND(AJ29="Yes",SUM(AQ26,AQ28,AQ29)&lt;2),1,0)</f>
        <v>0</v>
      </c>
    </row>
    <row r="30" spans="1:55" s="4" customFormat="1" ht="11.25" x14ac:dyDescent="0.2">
      <c r="A30" s="177"/>
      <c r="B30" s="178" t="s">
        <v>325</v>
      </c>
      <c r="C30" s="178"/>
      <c r="D30" s="178"/>
      <c r="E30" s="178"/>
      <c r="F30" s="178"/>
      <c r="G30" s="178"/>
      <c r="H30" s="178"/>
      <c r="I30" s="178"/>
      <c r="J30" s="55"/>
      <c r="K30" s="177"/>
      <c r="L30" s="178" t="s">
        <v>329</v>
      </c>
      <c r="M30" s="178"/>
      <c r="N30" s="178"/>
      <c r="O30" s="178"/>
      <c r="P30" s="178"/>
      <c r="Q30" s="178"/>
      <c r="R30" s="178"/>
      <c r="S30" s="409"/>
      <c r="T30" s="178" t="s">
        <v>333</v>
      </c>
      <c r="U30" s="178"/>
      <c r="V30" s="178"/>
      <c r="W30" s="178"/>
      <c r="X30" s="178"/>
      <c r="Y30" s="178"/>
      <c r="Z30" s="178"/>
      <c r="AA30" s="178"/>
      <c r="AB30" s="178"/>
      <c r="AC30" s="178"/>
      <c r="AD30" s="178"/>
      <c r="AE30" s="178"/>
      <c r="AF30" s="178"/>
      <c r="AG30" s="208"/>
      <c r="AH30" s="208"/>
      <c r="AI30" s="208"/>
      <c r="AJ30" s="286"/>
      <c r="AK30" s="287"/>
      <c r="AL30" s="288"/>
      <c r="AM30" s="207" t="s">
        <v>125</v>
      </c>
      <c r="AO30" s="137" t="s">
        <v>178</v>
      </c>
      <c r="AP30" s="190" t="b">
        <v>0</v>
      </c>
      <c r="AQ30" s="4">
        <f t="shared" si="1"/>
        <v>0</v>
      </c>
      <c r="AR30" s="4">
        <f>IF(AJ30="",0,1)</f>
        <v>0</v>
      </c>
      <c r="AS30" s="4">
        <f>IF(AND(AJ30="Yes",SUM(AQ26:AQ31)&lt;2),1,0)</f>
        <v>0</v>
      </c>
      <c r="AT30" s="4">
        <f>IF(AND(AJ30="No",OR(AJ28="Yes",AJ29="Yes")),1,0)</f>
        <v>0</v>
      </c>
    </row>
    <row r="31" spans="1:55" s="4" customFormat="1" ht="11.25" x14ac:dyDescent="0.2">
      <c r="A31" s="36"/>
      <c r="B31" s="59" t="s">
        <v>326</v>
      </c>
      <c r="C31" s="59"/>
      <c r="D31" s="59"/>
      <c r="E31" s="59"/>
      <c r="F31" s="59"/>
      <c r="G31" s="59"/>
      <c r="H31" s="59"/>
      <c r="I31" s="59"/>
      <c r="J31" s="54"/>
      <c r="K31" s="36"/>
      <c r="L31" s="59" t="s">
        <v>190</v>
      </c>
      <c r="M31" s="59"/>
      <c r="N31" s="59"/>
      <c r="O31" s="59"/>
      <c r="P31" s="59"/>
      <c r="Q31" s="59"/>
      <c r="R31" s="59"/>
      <c r="S31" s="410"/>
      <c r="T31" s="59" t="s">
        <v>486</v>
      </c>
      <c r="U31" s="59"/>
      <c r="V31" s="59"/>
      <c r="W31" s="59"/>
      <c r="X31" s="59"/>
      <c r="Y31" s="59"/>
      <c r="Z31" s="59"/>
      <c r="AA31" s="59"/>
      <c r="AB31" s="59"/>
      <c r="AC31" s="59"/>
      <c r="AD31" s="59"/>
      <c r="AE31" s="59"/>
      <c r="AF31" s="59"/>
      <c r="AG31" s="209"/>
      <c r="AH31" s="209"/>
      <c r="AI31" s="209"/>
      <c r="AJ31" s="286"/>
      <c r="AK31" s="287"/>
      <c r="AL31" s="288"/>
      <c r="AM31" s="206" t="s">
        <v>126</v>
      </c>
      <c r="AO31" s="137" t="s">
        <v>179</v>
      </c>
      <c r="AP31" s="190" t="b">
        <v>0</v>
      </c>
      <c r="AQ31" s="4">
        <f t="shared" si="1"/>
        <v>0</v>
      </c>
      <c r="AR31" s="4">
        <f>IF(AJ31="",0,1)</f>
        <v>0</v>
      </c>
      <c r="AS31" s="4">
        <f>IF(AND(AJ31="Yes",AQ28=0),1,0)</f>
        <v>0</v>
      </c>
    </row>
    <row r="32" spans="1:55" s="4" customFormat="1" ht="11.25" x14ac:dyDescent="0.2">
      <c r="A32" s="234" t="s">
        <v>534</v>
      </c>
      <c r="B32" s="132"/>
      <c r="C32" s="132"/>
      <c r="D32" s="132"/>
      <c r="E32" s="132"/>
      <c r="F32" s="132"/>
      <c r="G32" s="132"/>
      <c r="H32" s="132"/>
      <c r="I32" s="132"/>
      <c r="J32" s="132"/>
      <c r="K32" s="132"/>
      <c r="L32" s="132"/>
      <c r="M32" s="132"/>
      <c r="N32" s="132"/>
      <c r="O32" s="132"/>
      <c r="P32" s="132"/>
      <c r="Q32" s="132"/>
      <c r="R32" s="132"/>
      <c r="S32" s="132"/>
      <c r="T32" s="133"/>
      <c r="U32" s="133"/>
      <c r="V32" s="133"/>
      <c r="W32" s="133"/>
      <c r="X32" s="133"/>
      <c r="Y32" s="133"/>
      <c r="Z32" s="133"/>
      <c r="AA32" s="133"/>
      <c r="AB32" s="133"/>
      <c r="AC32" s="133"/>
      <c r="AD32" s="133"/>
      <c r="AE32" s="133"/>
      <c r="AF32" s="133"/>
      <c r="AG32" s="133"/>
      <c r="AH32" s="133"/>
      <c r="AI32" s="133"/>
      <c r="AJ32" s="133"/>
      <c r="AK32" s="133"/>
      <c r="AL32" s="134"/>
      <c r="AM32" s="207" t="s">
        <v>127</v>
      </c>
      <c r="AO32" s="137" t="s">
        <v>347</v>
      </c>
      <c r="AP32" s="190" t="b">
        <v>0</v>
      </c>
      <c r="AQ32" s="4">
        <f t="shared" si="1"/>
        <v>0</v>
      </c>
    </row>
    <row r="33" spans="1:54" s="4" customFormat="1" ht="11.25" x14ac:dyDescent="0.2">
      <c r="A33" s="171" t="s">
        <v>339</v>
      </c>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286"/>
      <c r="AK33" s="287"/>
      <c r="AL33" s="288"/>
      <c r="AM33" s="206" t="s">
        <v>128</v>
      </c>
      <c r="AO33" s="137" t="s">
        <v>348</v>
      </c>
      <c r="AP33" s="190" t="b">
        <v>0</v>
      </c>
      <c r="AQ33" s="4">
        <f t="shared" si="1"/>
        <v>0</v>
      </c>
      <c r="AR33" s="4">
        <f t="shared" ref="AR33:AR39" si="2">IF(AJ33="",0,1)</f>
        <v>0</v>
      </c>
    </row>
    <row r="34" spans="1:54" s="4" customFormat="1" ht="11.25" x14ac:dyDescent="0.2">
      <c r="A34" s="171" t="s">
        <v>340</v>
      </c>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286"/>
      <c r="AK34" s="287"/>
      <c r="AL34" s="288"/>
      <c r="AM34" s="207" t="s">
        <v>322</v>
      </c>
      <c r="AR34" s="4">
        <f t="shared" si="2"/>
        <v>0</v>
      </c>
    </row>
    <row r="35" spans="1:54" s="4" customFormat="1" ht="11.25" x14ac:dyDescent="0.2">
      <c r="A35" s="171" t="s">
        <v>376</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286"/>
      <c r="AK35" s="287"/>
      <c r="AL35" s="288"/>
      <c r="AM35" s="206" t="s">
        <v>129</v>
      </c>
      <c r="AR35" s="4">
        <f t="shared" si="2"/>
        <v>0</v>
      </c>
    </row>
    <row r="36" spans="1:54" s="4" customFormat="1" ht="11.25" x14ac:dyDescent="0.2">
      <c r="A36" s="171" t="s">
        <v>531</v>
      </c>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241"/>
      <c r="AJ36" s="286"/>
      <c r="AK36" s="287"/>
      <c r="AL36" s="288"/>
      <c r="AM36" s="207" t="s">
        <v>130</v>
      </c>
      <c r="AR36" s="4">
        <f t="shared" si="2"/>
        <v>0</v>
      </c>
    </row>
    <row r="37" spans="1:54" s="4" customFormat="1" ht="11.25" x14ac:dyDescent="0.2">
      <c r="A37" s="171" t="s">
        <v>381</v>
      </c>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241"/>
      <c r="AJ37" s="286"/>
      <c r="AK37" s="287"/>
      <c r="AL37" s="288"/>
      <c r="AM37" s="206" t="s">
        <v>131</v>
      </c>
      <c r="AR37" s="4">
        <f t="shared" si="2"/>
        <v>0</v>
      </c>
    </row>
    <row r="38" spans="1:54" s="4" customFormat="1" ht="11.25" x14ac:dyDescent="0.2">
      <c r="A38" s="171" t="s">
        <v>382</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286"/>
      <c r="AK38" s="287"/>
      <c r="AL38" s="288"/>
      <c r="AM38" s="207" t="s">
        <v>132</v>
      </c>
      <c r="AN38" s="52"/>
      <c r="AR38" s="4">
        <f t="shared" si="2"/>
        <v>0</v>
      </c>
    </row>
    <row r="39" spans="1:54" s="4" customFormat="1" ht="11.25" x14ac:dyDescent="0.2">
      <c r="A39" s="171" t="s">
        <v>341</v>
      </c>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286"/>
      <c r="AK39" s="287"/>
      <c r="AL39" s="288"/>
      <c r="AM39" s="206" t="s">
        <v>133</v>
      </c>
      <c r="AR39" s="4">
        <f t="shared" si="2"/>
        <v>0</v>
      </c>
    </row>
    <row r="40" spans="1:54" s="4" customFormat="1" ht="11.25" x14ac:dyDescent="0.2">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210"/>
      <c r="AH40" s="210"/>
      <c r="AI40" s="210"/>
      <c r="AJ40" s="210"/>
      <c r="AK40" s="210"/>
      <c r="AL40" s="210"/>
      <c r="AM40" s="211" t="s">
        <v>134</v>
      </c>
      <c r="AP40" s="53" t="s">
        <v>365</v>
      </c>
    </row>
    <row r="41" spans="1:54" ht="12.75" x14ac:dyDescent="0.2">
      <c r="A41" s="372" t="str">
        <f>IF(SUM(AR14:AR39)=0,"Let's get started! Enter a Project Sponsor name.",IF(AR14=0,"Enter a Project Sponsor name.",IF(AR15=0,"Select the Project Sponsor's HIV Service Delivery Area.",IF(AR16=0,"Select the Project Sponsor's Administrative Agency.",IF(AR17=0,"Enter the name of the person preparing this report.",IF(AR18=0,"Enter the title of the person preparing this report.",IF(AR19=0,"Enter the phone number of the person preparing this report.",IF(AR20=0,"Enter the email address of the person preparing this report.",IF(AR21=0,"Enter the date this report was completed.",IF(AR23=0,"Select the reporting period. If this report covers the first half of the program year, select P1 Semi-Annual. If this report covers the entire program year, select P2 Annual.",IF(AS23=1,"Error. You may only select one reporting period.",IF(AR26=0,"Select the activities your agency performed during this program year (i.e., activities for which your agency had household and/or expenditure outputs). Please check all that apply.",IF(AR28=0,"Select whether any households received more than one type of housing assistance service during this reporting period.",IF(AS28=1,"Error. You have selected ""yes,"" but for this to be true, you must have undertaken at least two types of housing assistance activities.",IF(AR29=0,"Select whether any households received some combination of TBRA, FBHA, and/or PHP services during this reporting period.",IF(AS29=1,"Error. You have selected ""yes,"" but for this to be true, you must have undertaken some combination of TBRA, FBHA and/or PHP activities.",IF(AR30=0,"Select whether any households received more than one type of any HOPWA service during this reporting period.",IF(AS30=1,"Error. You have selected ""yes,"" but for this to be true, you must have undertaken at least two types of HOPWA service activities.",IF(AR31=0,"Select whether any households received more than one type of FBHA support during this reporting period.",IF(AS31=1,"Error. You have selected ""yes,"" but for this to be true, you must have undertaken FBHA activities.",IF(AT28=1,"You have selected ""no,"" but you have indicated that households received some combination of TBRA, FBHA, and/or PHP. Please resolve this discrepancy.",IF(AT30=1,"You have selected ""no,"" but you have indicated that households received one or more types of housing assistance. Please resolve this discrepancy.",IF(AR33=0,"Select whether the Project Sponsor encountered any barriers in the administration or implementation of the HOPWA program.",IF(AR34=0,"Select whether the Project Sponsor currently has a waitlist for TBRA, STRMU, and/or FBHA services.",IF(AR35=0,"Select whether any households that received any type of HOPWA service had more than one household member.",IF(AR36=0,"Select whether the Project Sponsor leveraged and expended any public or private funding in support of the HOPWA program during the program year.",IF(AR37=0,"Select whether the Project Sponsor collected HOPWA program income during the program year.",IF(AR38=0,"Select whether the Project Sponsor expended HOPWA program income during the program year.",IF(AR39=0,"Select whether any households that received any type of housing assistance service made rent payments (full or partial) to private owners during the program year.","Looking good! Proceed to Part 1.")))))))))))))))))))))))))))))</f>
        <v>Let's get started! Enter a Project Sponsor name.</v>
      </c>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P41" s="212">
        <f>IF(AND(A41="Looking good! Proceed to Part 1.",SUM(AR14:AR39)&gt;0,SUM(AS14:AT39)=0),1,0)</f>
        <v>0</v>
      </c>
    </row>
    <row r="42" spans="1:54" ht="12.75" x14ac:dyDescent="0.2">
      <c r="A42" s="372" t="str">
        <f>IF(A41="Let's get started! Enter a Project Sponsor name.","",IF(NOT(OR(A41="Let's get started! Enter a Project Sponsor name.",A41="Looking good! Proceed to Part 1.")),"This coversheet contains missing information. See highlighted fields. These prompts cannot be ignored. Please accurately complete this coversheet before proceeding to Part 1.",IF(AND(A41="Looking good! Proceed to Part 1.",AQ23=1,AR7=0),"This semi-annual report contains errors or missing information and is not ready for submission. Please review the report and resolve all issues.",IF(AND(A41="Looking good! Proceed to Part 1.",AQ24=1,AR7=0),"This annual report contains errors or missing information and is not ready for submission. Please review the report and resolve all issues.",IF(AND(A41="Looking good! Proceed to Part 1.",AR7=1),"This report appears to be complete.","")))))</f>
        <v/>
      </c>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row r="43" spans="1:54" s="4" customFormat="1" ht="11.25" x14ac:dyDescent="0.2">
      <c r="A43" s="373" t="s">
        <v>151</v>
      </c>
      <c r="B43" s="373"/>
      <c r="C43" s="373"/>
      <c r="D43" s="373"/>
      <c r="E43" s="373"/>
      <c r="F43" s="373"/>
      <c r="G43" s="373"/>
      <c r="H43" s="373"/>
      <c r="I43" s="373"/>
      <c r="J43" s="373"/>
      <c r="K43" s="373"/>
      <c r="L43" s="373"/>
      <c r="M43" s="373"/>
      <c r="N43" s="373"/>
      <c r="O43" s="373"/>
      <c r="P43" s="373"/>
      <c r="Q43" s="373"/>
      <c r="R43" s="373"/>
      <c r="S43" s="373"/>
      <c r="T43" s="346" t="s">
        <v>142</v>
      </c>
      <c r="U43" s="346"/>
      <c r="V43" s="346"/>
      <c r="W43" s="346"/>
      <c r="X43" s="346"/>
      <c r="Y43" s="346"/>
      <c r="Z43" s="346"/>
      <c r="AA43" s="346"/>
      <c r="AB43" s="346"/>
      <c r="AC43" s="346"/>
      <c r="AD43" s="346"/>
      <c r="AE43" s="346"/>
      <c r="AF43" s="346"/>
      <c r="AG43" s="346"/>
      <c r="AH43" s="346"/>
      <c r="AI43" s="346"/>
      <c r="AJ43" s="346"/>
      <c r="AK43" s="346"/>
      <c r="AL43" s="346"/>
      <c r="BB43" s="10"/>
    </row>
    <row r="44" spans="1:54" s="4" customFormat="1" ht="11.25" x14ac:dyDescent="0.2">
      <c r="A44" s="373"/>
      <c r="B44" s="373"/>
      <c r="C44" s="373"/>
      <c r="D44" s="373"/>
      <c r="E44" s="373"/>
      <c r="F44" s="373"/>
      <c r="G44" s="373"/>
      <c r="H44" s="373"/>
      <c r="I44" s="373"/>
      <c r="J44" s="373"/>
      <c r="K44" s="373"/>
      <c r="L44" s="373"/>
      <c r="M44" s="373"/>
      <c r="N44" s="373"/>
      <c r="O44" s="373"/>
      <c r="P44" s="373"/>
      <c r="Q44" s="373"/>
      <c r="R44" s="373"/>
      <c r="S44" s="373"/>
      <c r="T44" s="345" t="s">
        <v>19</v>
      </c>
      <c r="U44" s="345"/>
      <c r="V44" s="345"/>
      <c r="W44" s="345"/>
      <c r="X44" s="345"/>
      <c r="Y44" s="345"/>
      <c r="Z44" s="345"/>
      <c r="AA44" s="345"/>
      <c r="AB44" s="345"/>
      <c r="AC44" s="345"/>
      <c r="AD44" s="345"/>
      <c r="AE44" s="345"/>
      <c r="AF44" s="345"/>
      <c r="AG44" s="345"/>
      <c r="AH44" s="345"/>
      <c r="AI44" s="345"/>
      <c r="AJ44" s="345"/>
      <c r="AK44" s="345"/>
      <c r="AL44" s="345"/>
    </row>
    <row r="45" spans="1:54" s="4" customFormat="1" ht="11.25" x14ac:dyDescent="0.2">
      <c r="A45" s="373"/>
      <c r="B45" s="373"/>
      <c r="C45" s="373"/>
      <c r="D45" s="373"/>
      <c r="E45" s="373"/>
      <c r="F45" s="373"/>
      <c r="G45" s="373"/>
      <c r="H45" s="373"/>
      <c r="I45" s="373"/>
      <c r="J45" s="373"/>
      <c r="K45" s="373"/>
      <c r="L45" s="373"/>
      <c r="M45" s="373"/>
      <c r="N45" s="373"/>
      <c r="O45" s="373"/>
      <c r="P45" s="373"/>
      <c r="Q45" s="373"/>
      <c r="R45" s="373"/>
      <c r="S45" s="373"/>
      <c r="T45" s="345"/>
      <c r="U45" s="345"/>
      <c r="V45" s="345"/>
      <c r="W45" s="345"/>
      <c r="X45" s="345"/>
      <c r="Y45" s="345"/>
      <c r="Z45" s="345"/>
      <c r="AA45" s="345"/>
      <c r="AB45" s="345"/>
      <c r="AC45" s="345"/>
      <c r="AD45" s="345"/>
      <c r="AE45" s="345"/>
      <c r="AF45" s="345"/>
      <c r="AG45" s="345"/>
      <c r="AH45" s="345"/>
      <c r="AI45" s="345"/>
      <c r="AJ45" s="345"/>
      <c r="AK45" s="345"/>
      <c r="AL45" s="345"/>
    </row>
    <row r="46" spans="1:54" s="4" customFormat="1" ht="11.25" x14ac:dyDescent="0.2">
      <c r="A46" s="373"/>
      <c r="B46" s="373"/>
      <c r="C46" s="373"/>
      <c r="D46" s="373"/>
      <c r="E46" s="373"/>
      <c r="F46" s="373"/>
      <c r="G46" s="373"/>
      <c r="H46" s="373"/>
      <c r="I46" s="373"/>
      <c r="J46" s="373"/>
      <c r="K46" s="373"/>
      <c r="L46" s="373"/>
      <c r="M46" s="373"/>
      <c r="N46" s="373"/>
      <c r="O46" s="373"/>
      <c r="P46" s="373"/>
      <c r="Q46" s="373"/>
      <c r="R46" s="373"/>
      <c r="S46" s="373"/>
      <c r="T46" s="345"/>
      <c r="U46" s="345"/>
      <c r="V46" s="345"/>
      <c r="W46" s="345"/>
      <c r="X46" s="345"/>
      <c r="Y46" s="345"/>
      <c r="Z46" s="345"/>
      <c r="AA46" s="345"/>
      <c r="AB46" s="345"/>
      <c r="AC46" s="345"/>
      <c r="AD46" s="345"/>
      <c r="AE46" s="345"/>
      <c r="AF46" s="345"/>
      <c r="AG46" s="345"/>
      <c r="AH46" s="345"/>
      <c r="AI46" s="345"/>
      <c r="AJ46" s="345"/>
      <c r="AK46" s="345"/>
      <c r="AL46" s="345"/>
    </row>
    <row r="47" spans="1:54" s="4" customFormat="1" ht="11.25" x14ac:dyDescent="0.2">
      <c r="A47" s="373"/>
      <c r="B47" s="373"/>
      <c r="C47" s="373"/>
      <c r="D47" s="373"/>
      <c r="E47" s="373"/>
      <c r="F47" s="373"/>
      <c r="G47" s="373"/>
      <c r="H47" s="373"/>
      <c r="I47" s="373"/>
      <c r="J47" s="373"/>
      <c r="K47" s="373"/>
      <c r="L47" s="373"/>
      <c r="M47" s="373"/>
      <c r="N47" s="373"/>
      <c r="O47" s="373"/>
      <c r="P47" s="373"/>
      <c r="Q47" s="373"/>
      <c r="R47" s="373"/>
      <c r="S47" s="373"/>
      <c r="T47" s="347" t="s">
        <v>14</v>
      </c>
      <c r="U47" s="348"/>
      <c r="V47" s="348"/>
      <c r="W47" s="348"/>
      <c r="X47" s="348"/>
      <c r="Y47" s="348"/>
      <c r="Z47" s="348"/>
      <c r="AA47" s="348"/>
      <c r="AB47" s="348"/>
      <c r="AC47" s="348"/>
      <c r="AD47" s="348"/>
      <c r="AE47" s="348"/>
      <c r="AF47" s="348"/>
      <c r="AG47" s="348"/>
      <c r="AH47" s="348"/>
      <c r="AI47" s="348"/>
      <c r="AJ47" s="348"/>
      <c r="AK47" s="348"/>
      <c r="AL47" s="348"/>
    </row>
    <row r="48" spans="1:54" s="4" customFormat="1" ht="11.25" x14ac:dyDescent="0.2">
      <c r="A48" s="373"/>
      <c r="B48" s="373"/>
      <c r="C48" s="373"/>
      <c r="D48" s="373"/>
      <c r="E48" s="373"/>
      <c r="F48" s="373"/>
      <c r="G48" s="373"/>
      <c r="H48" s="373"/>
      <c r="I48" s="373"/>
      <c r="J48" s="373"/>
      <c r="K48" s="373"/>
      <c r="L48" s="373"/>
      <c r="M48" s="373"/>
      <c r="N48" s="373"/>
      <c r="O48" s="373"/>
      <c r="P48" s="373"/>
      <c r="Q48" s="373"/>
      <c r="R48" s="373"/>
      <c r="S48" s="373"/>
      <c r="T48" s="349" t="s">
        <v>102</v>
      </c>
      <c r="U48" s="349"/>
      <c r="V48" s="349"/>
      <c r="W48" s="349"/>
      <c r="X48" s="349"/>
      <c r="Y48" s="349"/>
      <c r="Z48" s="349"/>
      <c r="AA48" s="349"/>
      <c r="AB48" s="349"/>
      <c r="AC48" s="349"/>
      <c r="AD48" s="349"/>
      <c r="AE48" s="349"/>
      <c r="AF48" s="349"/>
      <c r="AG48" s="349"/>
      <c r="AH48" s="377">
        <v>3</v>
      </c>
      <c r="AI48" s="377"/>
      <c r="AJ48" s="377" t="s">
        <v>12</v>
      </c>
      <c r="AK48" s="377">
        <v>3</v>
      </c>
      <c r="AL48" s="377"/>
    </row>
    <row r="49" spans="1:43" s="4" customFormat="1" ht="11.25" x14ac:dyDescent="0.2">
      <c r="A49" s="373"/>
      <c r="B49" s="373"/>
      <c r="C49" s="373"/>
      <c r="D49" s="373"/>
      <c r="E49" s="373"/>
      <c r="F49" s="373"/>
      <c r="G49" s="373"/>
      <c r="H49" s="373"/>
      <c r="I49" s="373"/>
      <c r="J49" s="373"/>
      <c r="K49" s="373"/>
      <c r="L49" s="373"/>
      <c r="M49" s="373"/>
      <c r="N49" s="373"/>
      <c r="O49" s="373"/>
      <c r="P49" s="373"/>
      <c r="Q49" s="373"/>
      <c r="R49" s="373"/>
      <c r="S49" s="373"/>
      <c r="T49" s="349"/>
      <c r="U49" s="349"/>
      <c r="V49" s="349"/>
      <c r="W49" s="349"/>
      <c r="X49" s="349"/>
      <c r="Y49" s="349"/>
      <c r="Z49" s="349"/>
      <c r="AA49" s="349"/>
      <c r="AB49" s="349"/>
      <c r="AC49" s="349"/>
      <c r="AD49" s="349"/>
      <c r="AE49" s="349"/>
      <c r="AF49" s="349"/>
      <c r="AG49" s="349"/>
      <c r="AH49" s="377"/>
      <c r="AI49" s="377"/>
      <c r="AJ49" s="377"/>
      <c r="AK49" s="377"/>
      <c r="AL49" s="377"/>
    </row>
    <row r="50" spans="1:43" s="4" customFormat="1" ht="11.25" x14ac:dyDescent="0.2">
      <c r="A50" s="179"/>
      <c r="B50" s="179"/>
      <c r="C50" s="179"/>
      <c r="D50" s="179"/>
      <c r="E50" s="179"/>
      <c r="F50" s="179"/>
      <c r="G50" s="179"/>
      <c r="H50" s="179"/>
      <c r="I50" s="179"/>
      <c r="J50" s="179"/>
      <c r="K50" s="179"/>
      <c r="L50" s="179"/>
      <c r="M50" s="179"/>
      <c r="N50" s="179"/>
      <c r="O50" s="179"/>
      <c r="P50" s="179"/>
      <c r="Q50" s="179"/>
      <c r="R50" s="179"/>
      <c r="S50" s="179"/>
      <c r="T50" s="349" t="s">
        <v>103</v>
      </c>
      <c r="U50" s="349"/>
      <c r="V50" s="349"/>
      <c r="W50" s="349"/>
      <c r="X50" s="349"/>
      <c r="Y50" s="349"/>
      <c r="Z50" s="349"/>
      <c r="AA50" s="349"/>
      <c r="AB50" s="349"/>
      <c r="AC50" s="349"/>
      <c r="AD50" s="349"/>
      <c r="AE50" s="349"/>
      <c r="AF50" s="349"/>
      <c r="AG50" s="349"/>
      <c r="AH50" s="377">
        <v>2</v>
      </c>
      <c r="AI50" s="377"/>
      <c r="AJ50" s="377" t="s">
        <v>13</v>
      </c>
      <c r="AK50" s="377">
        <v>4</v>
      </c>
      <c r="AL50" s="377"/>
    </row>
    <row r="51" spans="1:43" s="4" customFormat="1" ht="11.25" x14ac:dyDescent="0.2">
      <c r="A51" s="373" t="s">
        <v>153</v>
      </c>
      <c r="B51" s="373"/>
      <c r="C51" s="373"/>
      <c r="D51" s="373"/>
      <c r="E51" s="373"/>
      <c r="F51" s="373"/>
      <c r="G51" s="373"/>
      <c r="H51" s="373"/>
      <c r="I51" s="373"/>
      <c r="J51" s="373"/>
      <c r="K51" s="373"/>
      <c r="L51" s="373"/>
      <c r="M51" s="373"/>
      <c r="N51" s="373"/>
      <c r="O51" s="373"/>
      <c r="P51" s="373"/>
      <c r="Q51" s="373"/>
      <c r="R51" s="373"/>
      <c r="S51" s="376"/>
      <c r="T51" s="349"/>
      <c r="U51" s="349"/>
      <c r="V51" s="349"/>
      <c r="W51" s="349"/>
      <c r="X51" s="349"/>
      <c r="Y51" s="349"/>
      <c r="Z51" s="349"/>
      <c r="AA51" s="349"/>
      <c r="AB51" s="349"/>
      <c r="AC51" s="349"/>
      <c r="AD51" s="349"/>
      <c r="AE51" s="349"/>
      <c r="AF51" s="349"/>
      <c r="AG51" s="349"/>
      <c r="AH51" s="377"/>
      <c r="AI51" s="377"/>
      <c r="AJ51" s="377"/>
      <c r="AK51" s="377"/>
      <c r="AL51" s="377"/>
    </row>
    <row r="52" spans="1:43" s="4" customFormat="1" ht="11.25" x14ac:dyDescent="0.2">
      <c r="A52" s="373"/>
      <c r="B52" s="373"/>
      <c r="C52" s="373"/>
      <c r="D52" s="373"/>
      <c r="E52" s="373"/>
      <c r="F52" s="373"/>
      <c r="G52" s="373"/>
      <c r="H52" s="373"/>
      <c r="I52" s="373"/>
      <c r="J52" s="373"/>
      <c r="K52" s="373"/>
      <c r="L52" s="373"/>
      <c r="M52" s="373"/>
      <c r="N52" s="373"/>
      <c r="O52" s="373"/>
      <c r="P52" s="373"/>
      <c r="Q52" s="373"/>
      <c r="R52" s="373"/>
      <c r="S52" s="376"/>
      <c r="T52" s="349" t="s">
        <v>145</v>
      </c>
      <c r="U52" s="349"/>
      <c r="V52" s="349"/>
      <c r="W52" s="349"/>
      <c r="X52" s="349"/>
      <c r="Y52" s="349"/>
      <c r="Z52" s="349"/>
      <c r="AA52" s="349"/>
      <c r="AB52" s="349"/>
      <c r="AC52" s="349"/>
      <c r="AD52" s="349"/>
      <c r="AE52" s="349"/>
      <c r="AF52" s="349"/>
      <c r="AG52" s="349"/>
      <c r="AH52" s="377">
        <v>1</v>
      </c>
      <c r="AI52" s="377"/>
      <c r="AJ52" s="377" t="s">
        <v>143</v>
      </c>
      <c r="AK52" s="381">
        <v>3</v>
      </c>
      <c r="AL52" s="381"/>
    </row>
    <row r="53" spans="1:43" s="4" customFormat="1" ht="11.25" x14ac:dyDescent="0.2">
      <c r="A53" s="179"/>
      <c r="B53" s="179"/>
      <c r="C53" s="179"/>
      <c r="D53" s="179"/>
      <c r="E53" s="179"/>
      <c r="F53" s="179"/>
      <c r="G53" s="179"/>
      <c r="H53" s="179"/>
      <c r="I53" s="179"/>
      <c r="J53" s="179"/>
      <c r="K53" s="179"/>
      <c r="L53" s="179"/>
      <c r="M53" s="179"/>
      <c r="N53" s="179"/>
      <c r="O53" s="179"/>
      <c r="P53" s="179"/>
      <c r="Q53" s="179"/>
      <c r="R53" s="179"/>
      <c r="S53" s="180"/>
      <c r="T53" s="349"/>
      <c r="U53" s="349"/>
      <c r="V53" s="349"/>
      <c r="W53" s="349"/>
      <c r="X53" s="349"/>
      <c r="Y53" s="349"/>
      <c r="Z53" s="349"/>
      <c r="AA53" s="349"/>
      <c r="AB53" s="349"/>
      <c r="AC53" s="349"/>
      <c r="AD53" s="349"/>
      <c r="AE53" s="349"/>
      <c r="AF53" s="349"/>
      <c r="AG53" s="349"/>
      <c r="AH53" s="377"/>
      <c r="AI53" s="377"/>
      <c r="AJ53" s="377"/>
      <c r="AK53" s="382"/>
      <c r="AL53" s="382"/>
    </row>
    <row r="54" spans="1:43" s="4" customFormat="1" ht="11.25" x14ac:dyDescent="0.2">
      <c r="A54" s="345" t="s">
        <v>272</v>
      </c>
      <c r="B54" s="345"/>
      <c r="C54" s="345"/>
      <c r="D54" s="345"/>
      <c r="E54" s="345"/>
      <c r="F54" s="345"/>
      <c r="G54" s="345"/>
      <c r="H54" s="345"/>
      <c r="I54" s="345"/>
      <c r="J54" s="345"/>
      <c r="K54" s="345"/>
      <c r="L54" s="345"/>
      <c r="M54" s="345"/>
      <c r="N54" s="345"/>
      <c r="O54" s="345"/>
      <c r="P54" s="345"/>
      <c r="Q54" s="345"/>
      <c r="R54" s="345"/>
      <c r="S54" s="345"/>
      <c r="T54" s="399" t="s">
        <v>91</v>
      </c>
      <c r="U54" s="399"/>
      <c r="V54" s="399"/>
      <c r="W54" s="399"/>
      <c r="X54" s="399"/>
      <c r="Y54" s="399"/>
      <c r="Z54" s="399"/>
      <c r="AA54" s="399"/>
      <c r="AB54" s="399"/>
      <c r="AC54" s="399"/>
      <c r="AD54" s="399"/>
      <c r="AE54" s="399"/>
      <c r="AF54" s="399"/>
      <c r="AG54" s="399"/>
      <c r="AH54" s="399"/>
      <c r="AI54" s="399"/>
      <c r="AJ54" s="399"/>
      <c r="AK54" s="379">
        <v>10</v>
      </c>
      <c r="AL54" s="380"/>
    </row>
    <row r="55" spans="1:43" s="4" customFormat="1" ht="11.25" x14ac:dyDescent="0.2">
      <c r="A55" s="345"/>
      <c r="B55" s="345"/>
      <c r="C55" s="345"/>
      <c r="D55" s="345"/>
      <c r="E55" s="345"/>
      <c r="F55" s="345"/>
      <c r="G55" s="345"/>
      <c r="H55" s="345"/>
      <c r="I55" s="345"/>
      <c r="J55" s="345"/>
      <c r="K55" s="345"/>
      <c r="L55" s="345"/>
      <c r="M55" s="345"/>
      <c r="N55" s="345"/>
      <c r="O55" s="345"/>
      <c r="P55" s="345"/>
      <c r="Q55" s="345"/>
      <c r="R55" s="345"/>
      <c r="S55" s="345"/>
    </row>
    <row r="56" spans="1:43" s="4" customFormat="1" ht="11.25" x14ac:dyDescent="0.2">
      <c r="A56" s="345"/>
      <c r="B56" s="345"/>
      <c r="C56" s="345"/>
      <c r="D56" s="345"/>
      <c r="E56" s="345"/>
      <c r="F56" s="345"/>
      <c r="G56" s="345"/>
      <c r="H56" s="345"/>
      <c r="I56" s="345"/>
      <c r="J56" s="345"/>
      <c r="K56" s="345"/>
      <c r="L56" s="345"/>
      <c r="M56" s="345"/>
      <c r="N56" s="345"/>
      <c r="O56" s="345"/>
      <c r="P56" s="345"/>
      <c r="Q56" s="345"/>
      <c r="R56" s="345"/>
      <c r="S56" s="345"/>
      <c r="T56" s="345" t="s">
        <v>502</v>
      </c>
      <c r="U56" s="345"/>
      <c r="V56" s="345"/>
      <c r="W56" s="345"/>
      <c r="X56" s="345"/>
      <c r="Y56" s="345"/>
      <c r="Z56" s="345"/>
      <c r="AA56" s="345"/>
      <c r="AB56" s="345"/>
      <c r="AC56" s="345"/>
      <c r="AD56" s="345"/>
      <c r="AE56" s="345"/>
      <c r="AF56" s="345"/>
      <c r="AG56" s="345"/>
      <c r="AH56" s="345"/>
      <c r="AI56" s="345"/>
      <c r="AJ56" s="345"/>
      <c r="AK56" s="345"/>
      <c r="AL56" s="345"/>
    </row>
    <row r="57" spans="1:43" s="4" customFormat="1" ht="11.25" x14ac:dyDescent="0.2">
      <c r="A57" s="345"/>
      <c r="B57" s="345"/>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row>
    <row r="58" spans="1:43" s="4" customFormat="1" ht="11.25" x14ac:dyDescent="0.2">
      <c r="A58" s="345"/>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row>
    <row r="59" spans="1:43" s="4" customFormat="1" ht="11.25" x14ac:dyDescent="0.2">
      <c r="A59" s="345"/>
      <c r="B59" s="345"/>
      <c r="C59" s="345"/>
      <c r="D59" s="345"/>
      <c r="E59" s="345"/>
      <c r="F59" s="345"/>
      <c r="G59" s="345"/>
      <c r="H59" s="345"/>
      <c r="I59" s="345"/>
      <c r="J59" s="345"/>
      <c r="K59" s="345"/>
      <c r="L59" s="345"/>
      <c r="M59" s="345"/>
      <c r="N59" s="345"/>
      <c r="O59" s="345"/>
      <c r="P59" s="345"/>
      <c r="Q59" s="345"/>
      <c r="R59" s="345"/>
      <c r="S59" s="345"/>
      <c r="T59" s="86" t="s">
        <v>193</v>
      </c>
      <c r="U59" s="87"/>
      <c r="V59" s="87"/>
      <c r="W59" s="87"/>
      <c r="X59" s="87"/>
      <c r="Y59" s="87"/>
      <c r="Z59" s="87"/>
      <c r="AA59" s="87"/>
      <c r="AB59" s="87"/>
      <c r="AC59" s="22"/>
      <c r="AD59" s="88" t="s">
        <v>171</v>
      </c>
      <c r="AE59" s="87"/>
      <c r="AF59" s="87"/>
      <c r="AG59" s="87"/>
      <c r="AH59" s="87"/>
      <c r="AI59" s="22"/>
      <c r="AJ59" s="22"/>
      <c r="AK59" s="22"/>
      <c r="AL59" s="30"/>
    </row>
    <row r="60" spans="1:43" s="4" customFormat="1" ht="11.25" x14ac:dyDescent="0.2">
      <c r="A60" s="345"/>
      <c r="B60" s="345"/>
      <c r="C60" s="345"/>
      <c r="D60" s="345"/>
      <c r="E60" s="345"/>
      <c r="F60" s="345"/>
      <c r="G60" s="345"/>
      <c r="H60" s="345"/>
      <c r="I60" s="345"/>
      <c r="J60" s="345"/>
      <c r="K60" s="345"/>
      <c r="L60" s="345"/>
      <c r="M60" s="345"/>
      <c r="N60" s="345"/>
      <c r="O60" s="345"/>
      <c r="P60" s="345"/>
      <c r="Q60" s="345"/>
      <c r="R60" s="345"/>
      <c r="S60" s="345"/>
      <c r="T60" s="171">
        <v>1</v>
      </c>
      <c r="U60" s="172" t="s">
        <v>15</v>
      </c>
      <c r="V60" s="172"/>
      <c r="W60" s="172"/>
      <c r="X60" s="172"/>
      <c r="Y60" s="172"/>
      <c r="Z60" s="172"/>
      <c r="AA60" s="172"/>
      <c r="AB60" s="172"/>
      <c r="AC60" s="174"/>
      <c r="AD60" s="383">
        <v>1</v>
      </c>
      <c r="AE60" s="384"/>
      <c r="AF60" s="384"/>
      <c r="AG60" s="384"/>
      <c r="AH60" s="384"/>
      <c r="AI60" s="384"/>
      <c r="AJ60" s="384"/>
      <c r="AK60" s="384"/>
      <c r="AL60" s="385"/>
    </row>
    <row r="61" spans="1:43" s="4" customFormat="1" ht="11.25" x14ac:dyDescent="0.2">
      <c r="T61" s="171">
        <v>2</v>
      </c>
      <c r="U61" s="172" t="s">
        <v>16</v>
      </c>
      <c r="V61" s="172"/>
      <c r="W61" s="172"/>
      <c r="X61" s="172"/>
      <c r="Y61" s="172"/>
      <c r="Z61" s="172"/>
      <c r="AA61" s="172"/>
      <c r="AB61" s="172"/>
      <c r="AC61" s="89"/>
      <c r="AD61" s="383">
        <v>1</v>
      </c>
      <c r="AE61" s="384"/>
      <c r="AF61" s="384"/>
      <c r="AG61" s="384"/>
      <c r="AH61" s="384"/>
      <c r="AI61" s="384"/>
      <c r="AJ61" s="384"/>
      <c r="AK61" s="384"/>
      <c r="AL61" s="385"/>
      <c r="AM61" s="5"/>
      <c r="AO61" s="5"/>
    </row>
    <row r="62" spans="1:43" s="4" customFormat="1" ht="11.25" x14ac:dyDescent="0.2">
      <c r="A62" s="345" t="s">
        <v>71</v>
      </c>
      <c r="B62" s="345"/>
      <c r="C62" s="345"/>
      <c r="D62" s="345"/>
      <c r="E62" s="345"/>
      <c r="F62" s="345"/>
      <c r="G62" s="345"/>
      <c r="H62" s="345"/>
      <c r="I62" s="345"/>
      <c r="J62" s="345"/>
      <c r="K62" s="345"/>
      <c r="L62" s="345"/>
      <c r="M62" s="345"/>
      <c r="N62" s="345"/>
      <c r="O62" s="345"/>
      <c r="P62" s="345"/>
      <c r="Q62" s="345"/>
      <c r="R62" s="345"/>
      <c r="S62" s="345"/>
      <c r="T62" s="173">
        <v>3</v>
      </c>
      <c r="U62" s="378" t="s">
        <v>140</v>
      </c>
      <c r="V62" s="378"/>
      <c r="W62" s="378"/>
      <c r="X62" s="378"/>
      <c r="Y62" s="378"/>
      <c r="Z62" s="378"/>
      <c r="AA62" s="378"/>
      <c r="AB62" s="378"/>
      <c r="AC62" s="174"/>
      <c r="AD62" s="386">
        <v>0</v>
      </c>
      <c r="AE62" s="378"/>
      <c r="AF62" s="378"/>
      <c r="AG62" s="378"/>
      <c r="AH62" s="378"/>
      <c r="AI62" s="378"/>
      <c r="AJ62" s="378"/>
      <c r="AK62" s="378"/>
      <c r="AL62" s="353"/>
      <c r="AM62" s="6"/>
      <c r="AO62" s="6"/>
    </row>
    <row r="63" spans="1:43" s="4" customFormat="1" ht="11.25" x14ac:dyDescent="0.2">
      <c r="A63" s="345"/>
      <c r="B63" s="345"/>
      <c r="C63" s="345"/>
      <c r="D63" s="345"/>
      <c r="E63" s="345"/>
      <c r="F63" s="345"/>
      <c r="G63" s="345"/>
      <c r="H63" s="345"/>
      <c r="I63" s="345"/>
      <c r="J63" s="345"/>
      <c r="K63" s="345"/>
      <c r="L63" s="345"/>
      <c r="M63" s="345"/>
      <c r="N63" s="345"/>
      <c r="O63" s="345"/>
      <c r="P63" s="345"/>
      <c r="Q63" s="345"/>
      <c r="R63" s="345"/>
      <c r="S63" s="345"/>
      <c r="T63" s="171">
        <v>4</v>
      </c>
      <c r="U63" s="172" t="s">
        <v>17</v>
      </c>
      <c r="V63" s="172"/>
      <c r="W63" s="172"/>
      <c r="X63" s="172"/>
      <c r="Y63" s="172"/>
      <c r="Z63" s="172"/>
      <c r="AA63" s="172"/>
      <c r="AB63" s="172"/>
      <c r="AC63" s="174"/>
      <c r="AD63" s="383">
        <v>1</v>
      </c>
      <c r="AE63" s="384"/>
      <c r="AF63" s="384"/>
      <c r="AG63" s="384"/>
      <c r="AH63" s="384"/>
      <c r="AI63" s="384"/>
      <c r="AJ63" s="384"/>
      <c r="AK63" s="384"/>
      <c r="AL63" s="385"/>
      <c r="AM63" s="6"/>
      <c r="AO63" s="6"/>
      <c r="AP63" s="6"/>
      <c r="AQ63" s="6"/>
    </row>
    <row r="64" spans="1:43" s="4" customFormat="1" ht="11.25" x14ac:dyDescent="0.2">
      <c r="A64" s="345"/>
      <c r="B64" s="345"/>
      <c r="C64" s="345"/>
      <c r="D64" s="345"/>
      <c r="E64" s="345"/>
      <c r="F64" s="345"/>
      <c r="G64" s="345"/>
      <c r="H64" s="345"/>
      <c r="I64" s="345"/>
      <c r="J64" s="345"/>
      <c r="K64" s="345"/>
      <c r="L64" s="345"/>
      <c r="M64" s="345"/>
      <c r="N64" s="345"/>
      <c r="O64" s="345"/>
      <c r="P64" s="345"/>
      <c r="Q64" s="345"/>
      <c r="R64" s="345"/>
      <c r="S64" s="345"/>
      <c r="T64" s="171">
        <v>5</v>
      </c>
      <c r="U64" s="172" t="s">
        <v>18</v>
      </c>
      <c r="V64" s="172"/>
      <c r="W64" s="172"/>
      <c r="X64" s="172"/>
      <c r="Y64" s="172"/>
      <c r="Z64" s="172"/>
      <c r="AA64" s="172"/>
      <c r="AB64" s="172"/>
      <c r="AC64" s="174"/>
      <c r="AD64" s="383">
        <v>2</v>
      </c>
      <c r="AE64" s="384"/>
      <c r="AF64" s="384"/>
      <c r="AG64" s="384"/>
      <c r="AH64" s="384"/>
      <c r="AI64" s="384"/>
      <c r="AJ64" s="384"/>
      <c r="AK64" s="384"/>
      <c r="AL64" s="385"/>
      <c r="AM64" s="6"/>
      <c r="AO64" s="6"/>
      <c r="AP64" s="6"/>
      <c r="AQ64" s="6"/>
    </row>
    <row r="65" spans="1:43" s="4" customFormat="1" ht="11.25" x14ac:dyDescent="0.2">
      <c r="A65" s="345"/>
      <c r="B65" s="345"/>
      <c r="C65" s="345"/>
      <c r="D65" s="345"/>
      <c r="E65" s="345"/>
      <c r="F65" s="345"/>
      <c r="G65" s="345"/>
      <c r="H65" s="345"/>
      <c r="I65" s="345"/>
      <c r="J65" s="345"/>
      <c r="K65" s="345"/>
      <c r="L65" s="345"/>
      <c r="M65" s="345"/>
      <c r="N65" s="345"/>
      <c r="O65" s="345"/>
      <c r="P65" s="345"/>
      <c r="Q65" s="345"/>
      <c r="R65" s="345"/>
      <c r="S65" s="345"/>
      <c r="T65" s="176">
        <v>6</v>
      </c>
      <c r="U65" s="391" t="s">
        <v>144</v>
      </c>
      <c r="V65" s="391"/>
      <c r="W65" s="391"/>
      <c r="X65" s="391"/>
      <c r="Y65" s="391"/>
      <c r="Z65" s="391"/>
      <c r="AA65" s="391"/>
      <c r="AB65" s="392"/>
      <c r="AC65" s="84"/>
      <c r="AD65" s="379">
        <v>1</v>
      </c>
      <c r="AE65" s="387"/>
      <c r="AF65" s="387"/>
      <c r="AG65" s="387"/>
      <c r="AH65" s="387"/>
      <c r="AI65" s="387"/>
      <c r="AJ65" s="387"/>
      <c r="AK65" s="387"/>
      <c r="AL65" s="380"/>
      <c r="AM65" s="7"/>
      <c r="AO65" s="7"/>
      <c r="AP65" s="7"/>
      <c r="AQ65" s="7"/>
    </row>
    <row r="66" spans="1:43" s="4" customFormat="1" ht="11.25" x14ac:dyDescent="0.2">
      <c r="A66" s="345"/>
      <c r="B66" s="345"/>
      <c r="C66" s="345"/>
      <c r="D66" s="345"/>
      <c r="E66" s="345"/>
      <c r="F66" s="345"/>
      <c r="G66" s="345"/>
      <c r="H66" s="345"/>
      <c r="I66" s="345"/>
      <c r="J66" s="345"/>
      <c r="K66" s="345"/>
      <c r="L66" s="345"/>
      <c r="M66" s="345"/>
      <c r="N66" s="345"/>
      <c r="O66" s="345"/>
      <c r="P66" s="345"/>
      <c r="Q66" s="345"/>
      <c r="R66" s="345"/>
      <c r="S66" s="345"/>
      <c r="AM66" s="7"/>
      <c r="AO66" s="7"/>
      <c r="AP66" s="7"/>
      <c r="AQ66" s="7"/>
    </row>
    <row r="67" spans="1:43" s="4" customFormat="1" ht="11.25" x14ac:dyDescent="0.2">
      <c r="A67" s="345"/>
      <c r="B67" s="345"/>
      <c r="C67" s="345"/>
      <c r="D67" s="345"/>
      <c r="E67" s="345"/>
      <c r="F67" s="345"/>
      <c r="G67" s="345"/>
      <c r="H67" s="345"/>
      <c r="I67" s="345"/>
      <c r="J67" s="345"/>
      <c r="K67" s="345"/>
      <c r="L67" s="345"/>
      <c r="M67" s="345"/>
      <c r="N67" s="345"/>
      <c r="O67" s="345"/>
      <c r="P67" s="345"/>
      <c r="Q67" s="345"/>
      <c r="R67" s="345"/>
      <c r="S67" s="345"/>
      <c r="T67" s="388" t="s">
        <v>23</v>
      </c>
      <c r="U67" s="388"/>
      <c r="V67" s="388"/>
      <c r="W67" s="388"/>
      <c r="X67" s="388"/>
      <c r="Y67" s="388"/>
      <c r="Z67" s="388"/>
      <c r="AA67" s="388"/>
      <c r="AB67" s="388"/>
      <c r="AC67" s="388"/>
      <c r="AD67" s="388"/>
      <c r="AE67" s="388"/>
      <c r="AF67" s="388"/>
      <c r="AG67" s="388"/>
      <c r="AH67" s="388"/>
      <c r="AI67" s="388"/>
      <c r="AJ67" s="388"/>
      <c r="AK67" s="388"/>
      <c r="AL67" s="388"/>
      <c r="AM67" s="8"/>
      <c r="AO67" s="9"/>
      <c r="AP67" s="9"/>
      <c r="AQ67" s="9"/>
    </row>
    <row r="68" spans="1:43" s="4" customFormat="1" ht="11.25" x14ac:dyDescent="0.2">
      <c r="A68" s="345"/>
      <c r="B68" s="345"/>
      <c r="C68" s="345"/>
      <c r="D68" s="345"/>
      <c r="E68" s="345"/>
      <c r="F68" s="345"/>
      <c r="G68" s="345"/>
      <c r="H68" s="345"/>
      <c r="I68" s="345"/>
      <c r="J68" s="345"/>
      <c r="K68" s="345"/>
      <c r="L68" s="345"/>
      <c r="M68" s="345"/>
      <c r="N68" s="345"/>
      <c r="O68" s="345"/>
      <c r="P68" s="345"/>
      <c r="Q68" s="345"/>
      <c r="R68" s="345"/>
      <c r="S68" s="345"/>
      <c r="T68" s="388"/>
      <c r="U68" s="388"/>
      <c r="V68" s="388"/>
      <c r="W68" s="388"/>
      <c r="X68" s="388"/>
      <c r="Y68" s="388"/>
      <c r="Z68" s="388"/>
      <c r="AA68" s="388"/>
      <c r="AB68" s="388"/>
      <c r="AC68" s="388"/>
      <c r="AD68" s="388"/>
      <c r="AE68" s="388"/>
      <c r="AF68" s="388"/>
      <c r="AG68" s="388"/>
      <c r="AH68" s="388"/>
      <c r="AI68" s="388"/>
      <c r="AJ68" s="388"/>
      <c r="AK68" s="388"/>
      <c r="AL68" s="388"/>
      <c r="AM68" s="8"/>
      <c r="AO68" s="7"/>
      <c r="AP68" s="7"/>
      <c r="AQ68" s="7"/>
    </row>
    <row r="69" spans="1:43" s="4" customFormat="1" ht="11.25" x14ac:dyDescent="0.2">
      <c r="T69" s="56" t="s">
        <v>22</v>
      </c>
      <c r="U69" s="74"/>
      <c r="V69" s="74"/>
      <c r="W69" s="74"/>
      <c r="X69" s="74"/>
      <c r="Y69" s="74"/>
      <c r="Z69" s="74"/>
      <c r="AA69" s="74"/>
      <c r="AB69" s="74"/>
      <c r="AC69" s="74"/>
      <c r="AD69" s="74"/>
      <c r="AE69" s="74"/>
      <c r="AF69" s="74"/>
      <c r="AG69" s="74"/>
      <c r="AH69" s="74"/>
      <c r="AI69" s="74"/>
      <c r="AJ69" s="74"/>
      <c r="AK69" s="74"/>
      <c r="AL69" s="119"/>
      <c r="AM69" s="5"/>
      <c r="AO69" s="5"/>
      <c r="AP69" s="5"/>
      <c r="AQ69" s="5"/>
    </row>
    <row r="70" spans="1:43" s="4" customFormat="1" ht="11.25" x14ac:dyDescent="0.2">
      <c r="A70" s="345" t="s">
        <v>104</v>
      </c>
      <c r="B70" s="345"/>
      <c r="C70" s="345"/>
      <c r="D70" s="345"/>
      <c r="E70" s="345"/>
      <c r="F70" s="345"/>
      <c r="G70" s="345"/>
      <c r="H70" s="345"/>
      <c r="I70" s="345"/>
      <c r="J70" s="345"/>
      <c r="K70" s="345"/>
      <c r="L70" s="345"/>
      <c r="M70" s="345"/>
      <c r="N70" s="345"/>
      <c r="O70" s="345"/>
      <c r="P70" s="345"/>
      <c r="Q70" s="345"/>
      <c r="R70" s="345"/>
      <c r="S70" s="345"/>
      <c r="T70" s="118"/>
      <c r="U70" s="389" t="s">
        <v>173</v>
      </c>
      <c r="V70" s="390"/>
      <c r="W70" s="390"/>
      <c r="X70" s="390"/>
      <c r="Y70" s="390"/>
      <c r="Z70" s="390"/>
      <c r="AA70" s="390"/>
      <c r="AB70" s="390"/>
      <c r="AC70" s="390"/>
      <c r="AD70" s="390"/>
      <c r="AE70" s="390"/>
      <c r="AF70" s="390"/>
      <c r="AG70" s="390"/>
      <c r="AH70" s="390"/>
      <c r="AI70" s="390"/>
      <c r="AJ70" s="390"/>
      <c r="AK70" s="390"/>
      <c r="AL70" s="390"/>
      <c r="AM70" s="5"/>
      <c r="AO70" s="5"/>
      <c r="AP70" s="5"/>
      <c r="AQ70" s="5"/>
    </row>
    <row r="71" spans="1:43" s="4" customFormat="1" ht="11.25" x14ac:dyDescent="0.2">
      <c r="A71" s="345"/>
      <c r="B71" s="345"/>
      <c r="C71" s="345"/>
      <c r="D71" s="345"/>
      <c r="E71" s="345"/>
      <c r="F71" s="345"/>
      <c r="G71" s="345"/>
      <c r="H71" s="345"/>
      <c r="I71" s="345"/>
      <c r="J71" s="345"/>
      <c r="K71" s="345"/>
      <c r="L71" s="345"/>
      <c r="M71" s="345"/>
      <c r="N71" s="345"/>
      <c r="O71" s="345"/>
      <c r="P71" s="345"/>
      <c r="Q71" s="345"/>
      <c r="R71" s="345"/>
      <c r="S71" s="345"/>
      <c r="T71" s="187"/>
      <c r="U71" s="389" t="s">
        <v>174</v>
      </c>
      <c r="V71" s="390"/>
      <c r="W71" s="390"/>
      <c r="X71" s="390"/>
      <c r="Y71" s="390"/>
      <c r="Z71" s="390"/>
      <c r="AA71" s="390"/>
      <c r="AB71" s="390"/>
      <c r="AC71" s="390"/>
      <c r="AD71" s="390"/>
      <c r="AE71" s="390"/>
      <c r="AF71" s="390"/>
      <c r="AG71" s="390"/>
      <c r="AH71" s="390"/>
      <c r="AI71" s="390"/>
      <c r="AJ71" s="390"/>
      <c r="AK71" s="390"/>
      <c r="AL71" s="390"/>
      <c r="AM71" s="5"/>
      <c r="AN71" s="5"/>
      <c r="AO71" s="5"/>
      <c r="AP71" s="5"/>
      <c r="AQ71" s="5"/>
    </row>
    <row r="72" spans="1:43" s="4" customFormat="1" ht="11.25" x14ac:dyDescent="0.2">
      <c r="A72" s="345"/>
      <c r="B72" s="345"/>
      <c r="C72" s="345"/>
      <c r="D72" s="345"/>
      <c r="E72" s="345"/>
      <c r="F72" s="345"/>
      <c r="G72" s="345"/>
      <c r="H72" s="345"/>
      <c r="I72" s="345"/>
      <c r="J72" s="345"/>
      <c r="K72" s="345"/>
      <c r="L72" s="345"/>
      <c r="M72" s="345"/>
      <c r="N72" s="345"/>
      <c r="O72" s="345"/>
      <c r="P72" s="345"/>
      <c r="Q72" s="345"/>
      <c r="R72" s="345"/>
      <c r="S72" s="345"/>
      <c r="T72" s="186"/>
      <c r="U72" s="389" t="s">
        <v>175</v>
      </c>
      <c r="V72" s="390"/>
      <c r="W72" s="390"/>
      <c r="X72" s="390"/>
      <c r="Y72" s="390"/>
      <c r="Z72" s="390"/>
      <c r="AA72" s="390"/>
      <c r="AB72" s="390"/>
      <c r="AC72" s="390"/>
      <c r="AD72" s="390"/>
      <c r="AE72" s="390"/>
      <c r="AF72" s="390"/>
      <c r="AG72" s="390"/>
      <c r="AH72" s="390"/>
      <c r="AI72" s="390"/>
      <c r="AJ72" s="390"/>
      <c r="AK72" s="390"/>
      <c r="AL72" s="390"/>
      <c r="AM72" s="7"/>
      <c r="AN72" s="7"/>
      <c r="AO72" s="7"/>
      <c r="AP72" s="7"/>
      <c r="AQ72" s="7"/>
    </row>
    <row r="73" spans="1:43" s="4" customFormat="1" ht="11.25" x14ac:dyDescent="0.2">
      <c r="A73" s="345"/>
      <c r="B73" s="345"/>
      <c r="C73" s="345"/>
      <c r="D73" s="345"/>
      <c r="E73" s="345"/>
      <c r="F73" s="345"/>
      <c r="G73" s="345"/>
      <c r="H73" s="345"/>
      <c r="I73" s="345"/>
      <c r="J73" s="345"/>
      <c r="K73" s="345"/>
      <c r="L73" s="345"/>
      <c r="M73" s="345"/>
      <c r="N73" s="345"/>
      <c r="O73" s="345"/>
      <c r="P73" s="345"/>
      <c r="Q73" s="345"/>
      <c r="R73" s="345"/>
      <c r="S73" s="345"/>
      <c r="T73" s="45"/>
      <c r="U73" s="374" t="s">
        <v>176</v>
      </c>
      <c r="V73" s="375"/>
      <c r="W73" s="375"/>
      <c r="X73" s="375"/>
      <c r="Y73" s="375"/>
      <c r="Z73" s="375"/>
      <c r="AA73" s="375"/>
      <c r="AB73" s="375"/>
      <c r="AC73" s="375"/>
      <c r="AD73" s="375"/>
      <c r="AE73" s="375"/>
      <c r="AF73" s="375"/>
      <c r="AG73" s="375"/>
      <c r="AH73" s="375"/>
      <c r="AI73" s="375"/>
      <c r="AJ73" s="375"/>
      <c r="AK73" s="375"/>
      <c r="AL73" s="375"/>
      <c r="AM73" s="5"/>
    </row>
    <row r="74" spans="1:43" s="4" customFormat="1" ht="11.25" x14ac:dyDescent="0.2">
      <c r="A74" s="345"/>
      <c r="B74" s="345"/>
      <c r="C74" s="345"/>
      <c r="D74" s="345"/>
      <c r="E74" s="345"/>
      <c r="F74" s="345"/>
      <c r="G74" s="345"/>
      <c r="H74" s="345"/>
      <c r="I74" s="345"/>
      <c r="J74" s="345"/>
      <c r="K74" s="345"/>
      <c r="L74" s="345"/>
      <c r="M74" s="345"/>
      <c r="N74" s="345"/>
      <c r="O74" s="345"/>
      <c r="P74" s="345"/>
      <c r="Q74" s="345"/>
      <c r="R74" s="345"/>
      <c r="S74" s="345"/>
      <c r="T74" s="47"/>
      <c r="U74" s="374" t="s">
        <v>181</v>
      </c>
      <c r="V74" s="375"/>
      <c r="W74" s="375"/>
      <c r="X74" s="375"/>
      <c r="Y74" s="375"/>
      <c r="Z74" s="375"/>
      <c r="AA74" s="375"/>
      <c r="AB74" s="375"/>
      <c r="AC74" s="375"/>
      <c r="AD74" s="375"/>
      <c r="AE74" s="375"/>
      <c r="AF74" s="375"/>
      <c r="AG74" s="375"/>
      <c r="AH74" s="375"/>
      <c r="AI74" s="375"/>
      <c r="AJ74" s="375"/>
      <c r="AK74" s="375"/>
      <c r="AL74" s="375"/>
    </row>
    <row r="75" spans="1:43" s="4" customFormat="1" ht="11.25" x14ac:dyDescent="0.2">
      <c r="A75" s="345"/>
      <c r="B75" s="345"/>
      <c r="C75" s="345"/>
      <c r="D75" s="345"/>
      <c r="E75" s="345"/>
      <c r="F75" s="345"/>
      <c r="G75" s="345"/>
      <c r="H75" s="345"/>
      <c r="I75" s="345"/>
      <c r="J75" s="345"/>
      <c r="K75" s="345"/>
      <c r="L75" s="345"/>
      <c r="M75" s="345"/>
      <c r="N75" s="345"/>
      <c r="O75" s="345"/>
      <c r="P75" s="345"/>
      <c r="Q75" s="345"/>
      <c r="R75" s="345"/>
      <c r="S75" s="345"/>
      <c r="T75" s="51"/>
      <c r="U75" s="374" t="s">
        <v>182</v>
      </c>
      <c r="V75" s="375"/>
      <c r="W75" s="375"/>
      <c r="X75" s="375"/>
      <c r="Y75" s="375"/>
      <c r="Z75" s="375"/>
      <c r="AA75" s="375"/>
      <c r="AB75" s="375"/>
      <c r="AC75" s="375"/>
      <c r="AD75" s="375"/>
      <c r="AE75" s="375"/>
      <c r="AF75" s="375"/>
      <c r="AG75" s="375"/>
      <c r="AH75" s="375"/>
      <c r="AI75" s="375"/>
      <c r="AJ75" s="375"/>
      <c r="AK75" s="375"/>
      <c r="AL75" s="375"/>
    </row>
    <row r="76" spans="1:43" s="4" customFormat="1" ht="11.25" x14ac:dyDescent="0.2">
      <c r="A76" s="345"/>
      <c r="B76" s="345"/>
      <c r="C76" s="345"/>
      <c r="D76" s="345"/>
      <c r="E76" s="345"/>
      <c r="F76" s="345"/>
      <c r="G76" s="345"/>
      <c r="H76" s="345"/>
      <c r="I76" s="345"/>
      <c r="J76" s="345"/>
      <c r="K76" s="345"/>
      <c r="L76" s="345"/>
      <c r="M76" s="345"/>
      <c r="N76" s="345"/>
      <c r="O76" s="345"/>
      <c r="P76" s="345"/>
      <c r="Q76" s="345"/>
      <c r="R76" s="345"/>
      <c r="S76" s="345"/>
      <c r="T76" s="46"/>
      <c r="U76" s="374" t="s">
        <v>394</v>
      </c>
      <c r="V76" s="375"/>
      <c r="W76" s="375"/>
      <c r="X76" s="375"/>
      <c r="Y76" s="375"/>
      <c r="Z76" s="375"/>
      <c r="AA76" s="375"/>
      <c r="AB76" s="375"/>
      <c r="AC76" s="375"/>
      <c r="AD76" s="375"/>
      <c r="AE76" s="375"/>
      <c r="AF76" s="375"/>
      <c r="AG76" s="375"/>
      <c r="AH76" s="375"/>
      <c r="AI76" s="375"/>
      <c r="AJ76" s="375"/>
      <c r="AK76" s="375"/>
      <c r="AL76" s="375"/>
    </row>
    <row r="77" spans="1:43" s="4" customFormat="1" ht="11.25" x14ac:dyDescent="0.2">
      <c r="A77" s="345"/>
      <c r="B77" s="345"/>
      <c r="C77" s="345"/>
      <c r="D77" s="345"/>
      <c r="E77" s="345"/>
      <c r="F77" s="345"/>
      <c r="G77" s="345"/>
      <c r="H77" s="345"/>
      <c r="I77" s="345"/>
      <c r="J77" s="345"/>
      <c r="K77" s="345"/>
      <c r="L77" s="345"/>
      <c r="M77" s="345"/>
      <c r="N77" s="345"/>
      <c r="O77" s="345"/>
      <c r="P77" s="345"/>
      <c r="Q77" s="345"/>
      <c r="R77" s="345"/>
      <c r="S77" s="345"/>
      <c r="T77" s="48"/>
      <c r="U77" s="374" t="s">
        <v>393</v>
      </c>
      <c r="V77" s="375"/>
      <c r="W77" s="375"/>
      <c r="X77" s="375"/>
      <c r="Y77" s="375"/>
      <c r="Z77" s="375"/>
      <c r="AA77" s="375"/>
      <c r="AB77" s="375"/>
      <c r="AC77" s="375"/>
      <c r="AD77" s="375"/>
      <c r="AE77" s="375"/>
      <c r="AF77" s="375"/>
      <c r="AG77" s="375"/>
      <c r="AH77" s="375"/>
      <c r="AI77" s="375"/>
      <c r="AJ77" s="375"/>
      <c r="AK77" s="375"/>
      <c r="AL77" s="375"/>
      <c r="AM77" s="7"/>
    </row>
    <row r="78" spans="1:43" s="4" customFormat="1" ht="11.25" x14ac:dyDescent="0.2">
      <c r="A78" s="345"/>
      <c r="B78" s="345"/>
      <c r="C78" s="345"/>
      <c r="D78" s="345"/>
      <c r="E78" s="345"/>
      <c r="F78" s="345"/>
      <c r="G78" s="345"/>
      <c r="H78" s="345"/>
      <c r="I78" s="345"/>
      <c r="J78" s="345"/>
      <c r="K78" s="345"/>
      <c r="L78" s="345"/>
      <c r="M78" s="345"/>
      <c r="N78" s="345"/>
      <c r="O78" s="345"/>
      <c r="P78" s="345"/>
      <c r="Q78" s="345"/>
      <c r="R78" s="345"/>
      <c r="S78" s="345"/>
      <c r="T78" s="50"/>
      <c r="U78" s="374" t="s">
        <v>392</v>
      </c>
      <c r="V78" s="375"/>
      <c r="W78" s="375"/>
      <c r="X78" s="375"/>
      <c r="Y78" s="375"/>
      <c r="Z78" s="375"/>
      <c r="AA78" s="375"/>
      <c r="AB78" s="375"/>
      <c r="AC78" s="375"/>
      <c r="AD78" s="375"/>
      <c r="AE78" s="375"/>
      <c r="AF78" s="375"/>
      <c r="AG78" s="375"/>
      <c r="AH78" s="375"/>
      <c r="AI78" s="375"/>
      <c r="AJ78" s="375"/>
      <c r="AK78" s="375"/>
      <c r="AL78" s="375"/>
      <c r="AM78" s="5"/>
    </row>
    <row r="79" spans="1:43" s="4" customFormat="1" ht="11.25" x14ac:dyDescent="0.2">
      <c r="A79" s="345"/>
      <c r="B79" s="345"/>
      <c r="C79" s="345"/>
      <c r="D79" s="345"/>
      <c r="E79" s="345"/>
      <c r="F79" s="345"/>
      <c r="G79" s="345"/>
      <c r="H79" s="345"/>
      <c r="I79" s="345"/>
      <c r="J79" s="345"/>
      <c r="K79" s="345"/>
      <c r="L79" s="345"/>
      <c r="M79" s="345"/>
      <c r="N79" s="345"/>
      <c r="O79" s="345"/>
      <c r="P79" s="345"/>
      <c r="Q79" s="345"/>
      <c r="R79" s="345"/>
      <c r="S79" s="345"/>
      <c r="T79" s="345" t="s">
        <v>357</v>
      </c>
      <c r="U79" s="345"/>
      <c r="V79" s="345"/>
      <c r="W79" s="345"/>
      <c r="X79" s="345"/>
      <c r="Y79" s="345"/>
      <c r="Z79" s="345"/>
      <c r="AA79" s="345"/>
      <c r="AB79" s="345"/>
      <c r="AC79" s="345"/>
      <c r="AD79" s="345"/>
      <c r="AE79" s="345"/>
      <c r="AF79" s="345"/>
      <c r="AG79" s="345"/>
      <c r="AH79" s="345"/>
      <c r="AI79" s="345"/>
      <c r="AJ79" s="345"/>
      <c r="AK79" s="345"/>
      <c r="AL79" s="345"/>
      <c r="AM79" s="5"/>
    </row>
    <row r="80" spans="1:43" s="4" customFormat="1" ht="11.25" x14ac:dyDescent="0.2">
      <c r="A80" s="345"/>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5"/>
    </row>
    <row r="81" spans="1:58" s="4" customFormat="1" ht="11.25" x14ac:dyDescent="0.2">
      <c r="A81" s="345"/>
      <c r="B81" s="345"/>
      <c r="C81" s="345"/>
      <c r="D81" s="345"/>
      <c r="E81" s="345"/>
      <c r="F81" s="345"/>
      <c r="G81" s="345"/>
      <c r="H81" s="345"/>
      <c r="I81" s="345"/>
      <c r="J81" s="345"/>
      <c r="K81" s="345"/>
      <c r="L81" s="345"/>
      <c r="M81" s="345"/>
      <c r="N81" s="345"/>
      <c r="O81" s="345"/>
      <c r="P81" s="345"/>
      <c r="Q81" s="345"/>
      <c r="R81" s="345"/>
      <c r="S81" s="345"/>
      <c r="AM81" s="5"/>
    </row>
    <row r="82" spans="1:58" s="4" customFormat="1" ht="11.25" x14ac:dyDescent="0.2">
      <c r="A82" s="345"/>
      <c r="B82" s="345"/>
      <c r="C82" s="345"/>
      <c r="D82" s="345"/>
      <c r="E82" s="345"/>
      <c r="F82" s="345"/>
      <c r="G82" s="345"/>
      <c r="H82" s="345"/>
      <c r="I82" s="345"/>
      <c r="J82" s="345"/>
      <c r="K82" s="345"/>
      <c r="L82" s="345"/>
      <c r="M82" s="345"/>
      <c r="N82" s="345"/>
      <c r="O82" s="345"/>
      <c r="P82" s="345"/>
      <c r="Q82" s="345"/>
      <c r="R82" s="345"/>
      <c r="S82" s="345"/>
      <c r="AM82" s="5"/>
    </row>
    <row r="83" spans="1:58" s="4" customFormat="1" ht="11.25" x14ac:dyDescent="0.2">
      <c r="A83" s="345"/>
      <c r="B83" s="345"/>
      <c r="C83" s="345"/>
      <c r="D83" s="345"/>
      <c r="E83" s="345"/>
      <c r="F83" s="345"/>
      <c r="G83" s="345"/>
      <c r="H83" s="345"/>
      <c r="I83" s="345"/>
      <c r="J83" s="345"/>
      <c r="K83" s="345"/>
      <c r="L83" s="345"/>
      <c r="M83" s="345"/>
      <c r="N83" s="345"/>
      <c r="O83" s="345"/>
      <c r="P83" s="345"/>
      <c r="Q83" s="345"/>
      <c r="R83" s="345"/>
      <c r="S83" s="345"/>
      <c r="AM83" s="5"/>
    </row>
    <row r="84" spans="1:58" s="4" customFormat="1" ht="11.25" x14ac:dyDescent="0.2">
      <c r="U84" s="169"/>
      <c r="V84" s="169"/>
      <c r="W84" s="169"/>
      <c r="X84" s="169"/>
      <c r="Y84" s="169"/>
      <c r="Z84" s="169"/>
      <c r="AA84" s="169"/>
      <c r="AB84" s="169"/>
      <c r="AC84" s="169"/>
      <c r="AD84" s="169"/>
      <c r="AE84" s="169"/>
      <c r="AF84" s="169"/>
      <c r="AG84" s="169"/>
      <c r="AH84" s="169"/>
      <c r="AM84" s="5"/>
      <c r="AN84" s="5"/>
    </row>
    <row r="85" spans="1:58" s="4" customFormat="1" ht="11.25" x14ac:dyDescent="0.2">
      <c r="A85" s="345" t="s">
        <v>549</v>
      </c>
      <c r="B85" s="345"/>
      <c r="C85" s="345"/>
      <c r="D85" s="345"/>
      <c r="E85" s="345"/>
      <c r="F85" s="345"/>
      <c r="G85" s="345"/>
      <c r="H85" s="345"/>
      <c r="I85" s="345"/>
      <c r="J85" s="345"/>
      <c r="K85" s="345"/>
      <c r="L85" s="345"/>
      <c r="M85" s="345"/>
      <c r="N85" s="345"/>
      <c r="O85" s="345"/>
      <c r="P85" s="345"/>
      <c r="Q85" s="345"/>
      <c r="R85" s="345"/>
      <c r="S85" s="345"/>
      <c r="AM85" s="5"/>
      <c r="AN85" s="5"/>
    </row>
    <row r="86" spans="1:58" s="4" customFormat="1" ht="11.25" x14ac:dyDescent="0.2">
      <c r="A86" s="345"/>
      <c r="B86" s="345"/>
      <c r="C86" s="345"/>
      <c r="D86" s="345"/>
      <c r="E86" s="345"/>
      <c r="F86" s="345"/>
      <c r="G86" s="345"/>
      <c r="H86" s="345"/>
      <c r="I86" s="345"/>
      <c r="J86" s="345"/>
      <c r="K86" s="345"/>
      <c r="L86" s="345"/>
      <c r="M86" s="345"/>
      <c r="N86" s="345"/>
      <c r="O86" s="345"/>
      <c r="P86" s="345"/>
      <c r="Q86" s="345"/>
      <c r="R86" s="345"/>
      <c r="S86" s="345"/>
      <c r="AM86" s="5"/>
      <c r="AN86" s="5"/>
    </row>
    <row r="87" spans="1:58" s="4" customFormat="1" ht="11.25" x14ac:dyDescent="0.2">
      <c r="A87" s="345"/>
      <c r="B87" s="345"/>
      <c r="C87" s="345"/>
      <c r="D87" s="345"/>
      <c r="E87" s="345"/>
      <c r="F87" s="345"/>
      <c r="G87" s="345"/>
      <c r="H87" s="345"/>
      <c r="I87" s="345"/>
      <c r="J87" s="345"/>
      <c r="K87" s="345"/>
      <c r="L87" s="345"/>
      <c r="M87" s="345"/>
      <c r="N87" s="345"/>
      <c r="O87" s="345"/>
      <c r="P87" s="345"/>
      <c r="Q87" s="345"/>
      <c r="R87" s="345"/>
      <c r="S87" s="345"/>
      <c r="T87" s="179"/>
      <c r="U87" s="179"/>
      <c r="V87" s="179"/>
      <c r="W87" s="179"/>
      <c r="X87" s="179"/>
      <c r="Y87" s="179"/>
      <c r="Z87" s="179"/>
      <c r="AA87" s="179"/>
      <c r="AB87" s="179"/>
      <c r="AC87" s="179"/>
      <c r="AD87" s="179"/>
      <c r="AE87" s="179"/>
      <c r="AF87" s="179"/>
      <c r="AM87" s="5"/>
      <c r="AN87" s="5"/>
    </row>
    <row r="88" spans="1:58" s="4" customFormat="1" ht="11.25" x14ac:dyDescent="0.2">
      <c r="A88" s="345"/>
      <c r="B88" s="345"/>
      <c r="C88" s="345"/>
      <c r="D88" s="345"/>
      <c r="E88" s="345"/>
      <c r="F88" s="345"/>
      <c r="G88" s="345"/>
      <c r="H88" s="345"/>
      <c r="I88" s="345"/>
      <c r="J88" s="345"/>
      <c r="K88" s="345"/>
      <c r="L88" s="345"/>
      <c r="M88" s="345"/>
      <c r="N88" s="345"/>
      <c r="O88" s="345"/>
      <c r="P88" s="345"/>
      <c r="Q88" s="345"/>
      <c r="R88" s="345"/>
      <c r="S88" s="345"/>
      <c r="T88" s="179"/>
      <c r="U88" s="179"/>
      <c r="V88" s="179"/>
      <c r="W88" s="179"/>
      <c r="X88" s="179"/>
      <c r="Y88" s="179"/>
      <c r="Z88" s="179"/>
      <c r="AA88" s="179"/>
      <c r="AB88" s="179"/>
      <c r="AC88" s="179"/>
      <c r="AD88" s="179"/>
      <c r="AE88" s="179"/>
      <c r="AF88" s="179"/>
      <c r="AM88" s="5"/>
      <c r="AN88" s="5"/>
      <c r="AO88" s="5"/>
      <c r="AP88" s="5"/>
      <c r="AQ88" s="5"/>
      <c r="AR88" s="5"/>
      <c r="AS88" s="5"/>
      <c r="AT88" s="5"/>
      <c r="AU88" s="5"/>
      <c r="AV88" s="5"/>
      <c r="AW88" s="5"/>
      <c r="AX88" s="5"/>
      <c r="AY88" s="5"/>
      <c r="AZ88" s="5"/>
      <c r="BA88" s="5"/>
      <c r="BB88" s="5"/>
      <c r="BC88" s="5"/>
      <c r="BD88" s="5"/>
      <c r="BE88" s="5"/>
      <c r="BF88" s="5"/>
    </row>
    <row r="89" spans="1:58" s="4" customFormat="1" ht="11.25" x14ac:dyDescent="0.2">
      <c r="A89" s="345"/>
      <c r="B89" s="345"/>
      <c r="C89" s="345"/>
      <c r="D89" s="345"/>
      <c r="E89" s="345"/>
      <c r="F89" s="345"/>
      <c r="G89" s="345"/>
      <c r="H89" s="345"/>
      <c r="I89" s="345"/>
      <c r="J89" s="345"/>
      <c r="K89" s="345"/>
      <c r="L89" s="345"/>
      <c r="M89" s="345"/>
      <c r="N89" s="345"/>
      <c r="O89" s="345"/>
      <c r="P89" s="345"/>
      <c r="Q89" s="345"/>
      <c r="R89" s="345"/>
      <c r="S89" s="345"/>
      <c r="T89" s="179"/>
      <c r="U89" s="179"/>
      <c r="V89" s="179"/>
      <c r="W89" s="179"/>
      <c r="X89" s="179"/>
      <c r="Y89" s="179"/>
      <c r="Z89" s="179"/>
      <c r="AA89" s="179"/>
      <c r="AB89" s="179"/>
      <c r="AC89" s="179"/>
      <c r="AD89" s="179"/>
      <c r="AE89" s="179"/>
      <c r="AF89" s="179"/>
      <c r="AM89" s="5"/>
      <c r="AN89" s="5"/>
      <c r="AO89" s="5"/>
      <c r="AP89" s="5"/>
      <c r="AQ89" s="5"/>
      <c r="AR89" s="5"/>
      <c r="AS89" s="5"/>
      <c r="AT89" s="5"/>
      <c r="AU89" s="5"/>
      <c r="AV89" s="5"/>
      <c r="AW89" s="5"/>
      <c r="AX89" s="5"/>
      <c r="AY89" s="5"/>
      <c r="AZ89" s="5"/>
      <c r="BA89" s="5"/>
      <c r="BB89" s="5"/>
      <c r="BC89" s="5"/>
      <c r="BD89" s="5"/>
      <c r="BE89" s="5"/>
      <c r="BF89" s="5"/>
    </row>
    <row r="90" spans="1:58" s="4" customFormat="1" ht="11.25" x14ac:dyDescent="0.2">
      <c r="A90" s="345"/>
      <c r="B90" s="345"/>
      <c r="C90" s="345"/>
      <c r="D90" s="345"/>
      <c r="E90" s="345"/>
      <c r="F90" s="345"/>
      <c r="G90" s="345"/>
      <c r="H90" s="345"/>
      <c r="I90" s="345"/>
      <c r="J90" s="345"/>
      <c r="K90" s="345"/>
      <c r="L90" s="345"/>
      <c r="M90" s="345"/>
      <c r="N90" s="345"/>
      <c r="O90" s="345"/>
      <c r="P90" s="345"/>
      <c r="Q90" s="345"/>
      <c r="R90" s="345"/>
      <c r="S90" s="345"/>
      <c r="T90" s="179"/>
      <c r="U90" s="179"/>
      <c r="V90" s="179"/>
      <c r="W90" s="179"/>
      <c r="X90" s="179"/>
      <c r="Y90" s="179"/>
      <c r="Z90" s="179"/>
      <c r="AA90" s="179"/>
      <c r="AB90" s="179"/>
      <c r="AC90" s="179"/>
      <c r="AD90" s="179"/>
      <c r="AE90" s="179"/>
      <c r="AF90" s="179"/>
      <c r="AM90" s="5"/>
      <c r="AN90" s="5"/>
      <c r="AO90" s="5"/>
      <c r="AP90" s="5"/>
      <c r="AQ90" s="5"/>
      <c r="AR90" s="5"/>
      <c r="AS90" s="5"/>
      <c r="AT90" s="5"/>
      <c r="AU90" s="5"/>
      <c r="AV90" s="5"/>
      <c r="AW90" s="5"/>
      <c r="AX90" s="5"/>
      <c r="AY90" s="5"/>
      <c r="AZ90" s="5"/>
      <c r="BA90" s="5"/>
      <c r="BB90" s="5"/>
      <c r="BC90" s="5"/>
      <c r="BD90" s="5"/>
      <c r="BE90" s="5"/>
      <c r="BF90" s="5"/>
    </row>
    <row r="91" spans="1:58" s="2" customFormat="1" ht="15.75" x14ac:dyDescent="0.25">
      <c r="A91" s="11" t="s">
        <v>320</v>
      </c>
      <c r="B91" s="11"/>
      <c r="C91" s="11" t="s">
        <v>24</v>
      </c>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BB91" s="10"/>
    </row>
    <row r="92" spans="1:58" ht="12.75" x14ac:dyDescent="0.2">
      <c r="A92" s="396" t="s">
        <v>136</v>
      </c>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6"/>
    </row>
    <row r="93" spans="1:58" ht="12.75" x14ac:dyDescent="0.2">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6"/>
      <c r="AG93" s="396"/>
      <c r="AH93" s="396"/>
      <c r="AI93" s="396"/>
      <c r="AJ93" s="396"/>
      <c r="AK93" s="396"/>
      <c r="AL93" s="396"/>
    </row>
    <row r="94" spans="1:58" ht="12.75" x14ac:dyDescent="0.2">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6"/>
    </row>
    <row r="95" spans="1:58" ht="12.75" x14ac:dyDescent="0.2">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396"/>
      <c r="AH95" s="396"/>
      <c r="AI95" s="396"/>
      <c r="AJ95" s="396"/>
      <c r="AK95" s="396"/>
      <c r="AL95" s="396"/>
    </row>
    <row r="96" spans="1:58" ht="12.75" x14ac:dyDescent="0.2">
      <c r="A96" s="396"/>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c r="AG96" s="396"/>
      <c r="AH96" s="396"/>
      <c r="AI96" s="396"/>
      <c r="AJ96" s="396"/>
      <c r="AK96" s="396"/>
      <c r="AL96" s="396"/>
    </row>
    <row r="97" spans="1:55" ht="12.75" x14ac:dyDescent="0.2">
      <c r="A97" s="396"/>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6"/>
      <c r="AL97" s="396"/>
    </row>
    <row r="98" spans="1:55" ht="12.75" x14ac:dyDescent="0.2">
      <c r="A98" s="396"/>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6"/>
    </row>
    <row r="99" spans="1:55" ht="12.75" x14ac:dyDescent="0.2">
      <c r="A99" s="398" t="s">
        <v>139</v>
      </c>
      <c r="B99" s="398"/>
      <c r="C99" s="398"/>
      <c r="D99" s="398"/>
      <c r="E99" s="39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row>
    <row r="100" spans="1:55" ht="12.75" x14ac:dyDescent="0.2">
      <c r="A100" s="3">
        <v>1</v>
      </c>
      <c r="B100" s="3" t="s">
        <v>25</v>
      </c>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row>
    <row r="101" spans="1:55" ht="12.75" x14ac:dyDescent="0.2">
      <c r="B101" s="396" t="s">
        <v>135</v>
      </c>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c r="AA101" s="396"/>
      <c r="AB101" s="396"/>
      <c r="AC101" s="396"/>
      <c r="AD101" s="396"/>
      <c r="AE101" s="396"/>
      <c r="AF101" s="396"/>
      <c r="AG101" s="396"/>
      <c r="AH101" s="396"/>
      <c r="AI101" s="396"/>
      <c r="AJ101" s="396"/>
      <c r="AK101" s="396"/>
      <c r="AL101" s="396"/>
    </row>
    <row r="102" spans="1:55" ht="12.75" x14ac:dyDescent="0.2">
      <c r="B102" s="396"/>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row>
    <row r="103" spans="1:55" ht="12.75" x14ac:dyDescent="0.2">
      <c r="B103" s="396"/>
      <c r="C103" s="396"/>
      <c r="D103" s="396"/>
      <c r="E103" s="396"/>
      <c r="F103" s="396"/>
      <c r="G103" s="396"/>
      <c r="H103" s="396"/>
      <c r="I103" s="396"/>
      <c r="J103" s="396"/>
      <c r="K103" s="396"/>
      <c r="L103" s="396"/>
      <c r="M103" s="396"/>
      <c r="N103" s="396"/>
      <c r="O103" s="396"/>
      <c r="P103" s="396"/>
      <c r="Q103" s="396"/>
      <c r="R103" s="396"/>
      <c r="S103" s="396"/>
      <c r="T103" s="396"/>
      <c r="U103" s="396"/>
      <c r="V103" s="396"/>
      <c r="W103" s="396"/>
      <c r="X103" s="396"/>
      <c r="Y103" s="396"/>
      <c r="Z103" s="396"/>
      <c r="AA103" s="396"/>
      <c r="AB103" s="396"/>
      <c r="AC103" s="396"/>
      <c r="AD103" s="396"/>
      <c r="AE103" s="396"/>
      <c r="AF103" s="396"/>
      <c r="AG103" s="396"/>
      <c r="AH103" s="396"/>
      <c r="AI103" s="396"/>
      <c r="AJ103" s="396"/>
      <c r="AK103" s="396"/>
      <c r="AL103" s="396"/>
      <c r="AR103" s="90" t="s">
        <v>350</v>
      </c>
      <c r="AS103" s="90" t="s">
        <v>362</v>
      </c>
    </row>
    <row r="104" spans="1:55" ht="57.6" customHeight="1" x14ac:dyDescent="0.2">
      <c r="B104" s="341"/>
      <c r="C104" s="342"/>
      <c r="D104" s="342"/>
      <c r="E104" s="342"/>
      <c r="F104" s="342"/>
      <c r="G104" s="342"/>
      <c r="H104" s="342"/>
      <c r="I104" s="342"/>
      <c r="J104" s="342"/>
      <c r="K104" s="342"/>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3"/>
      <c r="AR104" s="1">
        <f>IF(B104="",0,1)</f>
        <v>0</v>
      </c>
      <c r="BC104" s="43">
        <f>B104</f>
        <v>0</v>
      </c>
    </row>
    <row r="105" spans="1:55" s="4" customFormat="1" ht="11.25" x14ac:dyDescent="0.2">
      <c r="AC105" s="232"/>
      <c r="AG105" s="213"/>
      <c r="AH105" s="213"/>
      <c r="AI105" s="213"/>
      <c r="AJ105" s="344" t="s">
        <v>551</v>
      </c>
      <c r="AK105" s="344"/>
      <c r="AL105" s="344"/>
    </row>
    <row r="106" spans="1:55" x14ac:dyDescent="0.2">
      <c r="A106" s="3">
        <v>2</v>
      </c>
      <c r="B106" s="3" t="s">
        <v>26</v>
      </c>
    </row>
    <row r="107" spans="1:55" ht="12.75" x14ac:dyDescent="0.2">
      <c r="B107" s="396" t="s">
        <v>100</v>
      </c>
      <c r="C107" s="396"/>
      <c r="D107" s="396"/>
      <c r="E107" s="396"/>
      <c r="F107" s="396"/>
      <c r="G107" s="396"/>
      <c r="H107" s="396"/>
      <c r="I107" s="396"/>
      <c r="J107" s="396"/>
      <c r="K107" s="396"/>
      <c r="L107" s="396"/>
      <c r="M107" s="396"/>
      <c r="N107" s="396"/>
      <c r="O107" s="396"/>
      <c r="P107" s="396"/>
      <c r="Q107" s="396"/>
      <c r="R107" s="396"/>
      <c r="S107" s="396"/>
      <c r="T107" s="396"/>
      <c r="U107" s="396"/>
      <c r="V107" s="396"/>
      <c r="W107" s="396"/>
      <c r="X107" s="396"/>
      <c r="Y107" s="396"/>
      <c r="Z107" s="396"/>
      <c r="AA107" s="396"/>
      <c r="AB107" s="396"/>
      <c r="AC107" s="396"/>
      <c r="AD107" s="396"/>
      <c r="AE107" s="396"/>
      <c r="AF107" s="396"/>
      <c r="AG107" s="396"/>
      <c r="AH107" s="396"/>
      <c r="AI107" s="396"/>
      <c r="AJ107" s="396"/>
      <c r="AK107" s="396"/>
      <c r="AL107" s="396"/>
    </row>
    <row r="108" spans="1:55" ht="12.75" x14ac:dyDescent="0.2">
      <c r="B108" s="396"/>
      <c r="C108" s="396"/>
      <c r="D108" s="396"/>
      <c r="E108" s="396"/>
      <c r="F108" s="396"/>
      <c r="G108" s="396"/>
      <c r="H108" s="396"/>
      <c r="I108" s="396"/>
      <c r="J108" s="396"/>
      <c r="K108" s="396"/>
      <c r="L108" s="396"/>
      <c r="M108" s="396"/>
      <c r="N108" s="396"/>
      <c r="O108" s="396"/>
      <c r="P108" s="396"/>
      <c r="Q108" s="396"/>
      <c r="R108" s="396"/>
      <c r="S108" s="396"/>
      <c r="T108" s="396"/>
      <c r="U108" s="396"/>
      <c r="V108" s="396"/>
      <c r="W108" s="396"/>
      <c r="X108" s="396"/>
      <c r="Y108" s="396"/>
      <c r="Z108" s="396"/>
      <c r="AA108" s="396"/>
      <c r="AB108" s="396"/>
      <c r="AC108" s="396"/>
      <c r="AD108" s="396"/>
      <c r="AE108" s="396"/>
      <c r="AF108" s="396"/>
      <c r="AG108" s="396"/>
      <c r="AH108" s="396"/>
      <c r="AI108" s="396"/>
      <c r="AJ108" s="396"/>
      <c r="AK108" s="396"/>
      <c r="AL108" s="396"/>
    </row>
    <row r="109" spans="1:55" ht="12.75" x14ac:dyDescent="0.2">
      <c r="B109" s="396"/>
      <c r="C109" s="396"/>
      <c r="D109" s="396"/>
      <c r="E109" s="396"/>
      <c r="F109" s="396"/>
      <c r="G109" s="396"/>
      <c r="H109" s="396"/>
      <c r="I109" s="396"/>
      <c r="J109" s="396"/>
      <c r="K109" s="396"/>
      <c r="L109" s="396"/>
      <c r="M109" s="396"/>
      <c r="N109" s="396"/>
      <c r="O109" s="396"/>
      <c r="P109" s="396"/>
      <c r="Q109" s="396"/>
      <c r="R109" s="396"/>
      <c r="S109" s="396"/>
      <c r="T109" s="396"/>
      <c r="U109" s="396"/>
      <c r="V109" s="396"/>
      <c r="W109" s="396"/>
      <c r="X109" s="396"/>
      <c r="Y109" s="396"/>
      <c r="Z109" s="396"/>
      <c r="AA109" s="396"/>
      <c r="AB109" s="396"/>
      <c r="AC109" s="396"/>
      <c r="AD109" s="396"/>
      <c r="AE109" s="396"/>
      <c r="AF109" s="396"/>
      <c r="AG109" s="396"/>
      <c r="AH109" s="396"/>
      <c r="AI109" s="396"/>
      <c r="AJ109" s="396"/>
      <c r="AK109" s="396"/>
      <c r="AL109" s="396"/>
    </row>
    <row r="110" spans="1:55" ht="12.75" x14ac:dyDescent="0.2">
      <c r="B110" s="396"/>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c r="AG110" s="396"/>
      <c r="AH110" s="396"/>
      <c r="AI110" s="396"/>
      <c r="AJ110" s="396"/>
      <c r="AK110" s="396"/>
      <c r="AL110" s="396"/>
    </row>
    <row r="111" spans="1:55" ht="12.75" x14ac:dyDescent="0.2">
      <c r="B111" s="396"/>
      <c r="C111" s="396"/>
      <c r="D111" s="396"/>
      <c r="E111" s="396"/>
      <c r="F111" s="396"/>
      <c r="G111" s="396"/>
      <c r="H111" s="396"/>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c r="AE111" s="396"/>
      <c r="AF111" s="396"/>
      <c r="AG111" s="396"/>
      <c r="AH111" s="396"/>
      <c r="AI111" s="396"/>
      <c r="AJ111" s="396"/>
      <c r="AK111" s="396"/>
      <c r="AL111" s="396"/>
    </row>
    <row r="112" spans="1:55" ht="57.6" customHeight="1" x14ac:dyDescent="0.2">
      <c r="B112" s="341"/>
      <c r="C112" s="342"/>
      <c r="D112" s="342"/>
      <c r="E112" s="342"/>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3"/>
      <c r="AR112" s="1">
        <f>IF(B112="",0,1)</f>
        <v>0</v>
      </c>
      <c r="BC112" s="43">
        <f>B112</f>
        <v>0</v>
      </c>
    </row>
    <row r="113" spans="1:60" s="4" customFormat="1" ht="11.25" x14ac:dyDescent="0.2">
      <c r="AG113" s="213"/>
      <c r="AH113" s="213"/>
      <c r="AI113" s="213"/>
      <c r="AJ113" s="344" t="s">
        <v>551</v>
      </c>
      <c r="AK113" s="344"/>
      <c r="AL113" s="344"/>
    </row>
    <row r="114" spans="1:60" x14ac:dyDescent="0.2">
      <c r="A114" s="3">
        <v>3</v>
      </c>
      <c r="B114" s="3" t="s">
        <v>28</v>
      </c>
    </row>
    <row r="115" spans="1:60" ht="12.75" x14ac:dyDescent="0.2">
      <c r="B115" s="396" t="s">
        <v>101</v>
      </c>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6"/>
      <c r="AL115" s="396"/>
    </row>
    <row r="116" spans="1:60" ht="12.75" x14ac:dyDescent="0.2">
      <c r="B116" s="396"/>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c r="AG116" s="396"/>
      <c r="AH116" s="396"/>
      <c r="AI116" s="396"/>
      <c r="AJ116" s="396"/>
      <c r="AK116" s="396"/>
      <c r="AL116" s="396"/>
    </row>
    <row r="117" spans="1:60" ht="12.75" x14ac:dyDescent="0.2">
      <c r="B117" s="396"/>
      <c r="C117" s="396"/>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396"/>
      <c r="AL117" s="396"/>
    </row>
    <row r="118" spans="1:60" ht="12.75" x14ac:dyDescent="0.2">
      <c r="B118" s="396"/>
      <c r="C118" s="396"/>
      <c r="D118" s="396"/>
      <c r="E118" s="396"/>
      <c r="F118" s="396"/>
      <c r="G118" s="396"/>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c r="AE118" s="396"/>
      <c r="AF118" s="396"/>
      <c r="AG118" s="396"/>
      <c r="AH118" s="396"/>
      <c r="AI118" s="396"/>
      <c r="AJ118" s="396"/>
      <c r="AK118" s="396"/>
      <c r="AL118" s="396"/>
    </row>
    <row r="119" spans="1:60" ht="57.6" customHeight="1" x14ac:dyDescent="0.2">
      <c r="B119" s="341"/>
      <c r="C119" s="342"/>
      <c r="D119" s="342"/>
      <c r="E119" s="342"/>
      <c r="F119" s="342"/>
      <c r="G119" s="342"/>
      <c r="H119" s="342"/>
      <c r="I119" s="342"/>
      <c r="J119" s="342"/>
      <c r="K119" s="342"/>
      <c r="L119" s="342"/>
      <c r="M119" s="342"/>
      <c r="N119" s="342"/>
      <c r="O119" s="342"/>
      <c r="P119" s="342"/>
      <c r="Q119" s="342"/>
      <c r="R119" s="342"/>
      <c r="S119" s="342"/>
      <c r="T119" s="342"/>
      <c r="U119" s="342"/>
      <c r="V119" s="342"/>
      <c r="W119" s="342"/>
      <c r="X119" s="342"/>
      <c r="Y119" s="342"/>
      <c r="Z119" s="342"/>
      <c r="AA119" s="342"/>
      <c r="AB119" s="342"/>
      <c r="AC119" s="342"/>
      <c r="AD119" s="342"/>
      <c r="AE119" s="342"/>
      <c r="AF119" s="342"/>
      <c r="AG119" s="342"/>
      <c r="AH119" s="342"/>
      <c r="AI119" s="342"/>
      <c r="AJ119" s="342"/>
      <c r="AK119" s="342"/>
      <c r="AL119" s="343"/>
      <c r="AR119" s="1">
        <f>IF(B119="",0,1)</f>
        <v>0</v>
      </c>
      <c r="BC119" s="43">
        <f>B119</f>
        <v>0</v>
      </c>
    </row>
    <row r="120" spans="1:60" s="4" customFormat="1" ht="11.25" x14ac:dyDescent="0.2">
      <c r="AG120" s="213"/>
      <c r="AH120" s="213"/>
      <c r="AI120" s="213"/>
      <c r="AJ120" s="344" t="s">
        <v>551</v>
      </c>
      <c r="AK120" s="344"/>
      <c r="AL120" s="344"/>
      <c r="AP120" s="53" t="s">
        <v>365</v>
      </c>
    </row>
    <row r="121" spans="1:60" ht="12.75" x14ac:dyDescent="0.2">
      <c r="A121" s="372" t="str">
        <f>IF(NOT(AND(A41="Looking good! Proceed to Part 1.")),"",IF(AND(AP41=1,SUM(AR104:AR119)&lt;&gt;3),"Complete each narrative.",""))</f>
        <v/>
      </c>
      <c r="B121" s="372"/>
      <c r="C121" s="372"/>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c r="AK121" s="372"/>
      <c r="AL121" s="372"/>
      <c r="AP121" s="212">
        <f>IF(AND(A121="",SUM(AR104:AR119)&gt;0,SUM(AS104:AS119)=0),1,0)</f>
        <v>0</v>
      </c>
    </row>
    <row r="122" spans="1:60" x14ac:dyDescent="0.2">
      <c r="A122" s="3">
        <v>4</v>
      </c>
      <c r="B122" s="3" t="s">
        <v>29</v>
      </c>
      <c r="AN122" s="199" t="s">
        <v>45</v>
      </c>
      <c r="BB122" s="10"/>
    </row>
    <row r="123" spans="1:60" ht="12.75" x14ac:dyDescent="0.2">
      <c r="B123" s="397" t="s">
        <v>30</v>
      </c>
      <c r="C123" s="397"/>
      <c r="D123" s="397"/>
      <c r="E123" s="397"/>
      <c r="F123" s="397"/>
      <c r="G123" s="397"/>
      <c r="H123" s="397"/>
      <c r="I123" s="397"/>
      <c r="J123" s="397"/>
      <c r="K123" s="397"/>
      <c r="L123" s="397"/>
      <c r="M123" s="397"/>
      <c r="N123" s="397"/>
      <c r="O123" s="397"/>
      <c r="P123" s="397"/>
      <c r="Q123" s="397"/>
      <c r="R123" s="397"/>
      <c r="S123" s="397"/>
      <c r="T123" s="397"/>
      <c r="U123" s="397"/>
      <c r="V123" s="397"/>
      <c r="W123" s="397"/>
      <c r="X123" s="397"/>
      <c r="Y123" s="397"/>
      <c r="Z123" s="397"/>
      <c r="AA123" s="397"/>
      <c r="AB123" s="397"/>
      <c r="AC123" s="397"/>
      <c r="AD123" s="397"/>
      <c r="AE123" s="397"/>
      <c r="AF123" s="397"/>
      <c r="AG123" s="397"/>
      <c r="AH123" s="397"/>
      <c r="AI123" s="397"/>
      <c r="AJ123" s="397"/>
      <c r="AK123" s="397"/>
      <c r="AL123" s="397"/>
      <c r="AN123" s="201"/>
    </row>
    <row r="124" spans="1:60" ht="12.75" x14ac:dyDescent="0.2">
      <c r="B124" s="397"/>
      <c r="C124" s="397"/>
      <c r="D124" s="397"/>
      <c r="E124" s="397"/>
      <c r="F124" s="397"/>
      <c r="G124" s="397"/>
      <c r="H124" s="397"/>
      <c r="I124" s="397"/>
      <c r="J124" s="397"/>
      <c r="K124" s="397"/>
      <c r="L124" s="397"/>
      <c r="M124" s="397"/>
      <c r="N124" s="397"/>
      <c r="O124" s="397"/>
      <c r="P124" s="397"/>
      <c r="Q124" s="397"/>
      <c r="R124" s="397"/>
      <c r="S124" s="397"/>
      <c r="T124" s="397"/>
      <c r="U124" s="397"/>
      <c r="V124" s="397"/>
      <c r="W124" s="397"/>
      <c r="X124" s="397"/>
      <c r="Y124" s="397"/>
      <c r="Z124" s="397"/>
      <c r="AA124" s="397"/>
      <c r="AB124" s="397"/>
      <c r="AC124" s="397"/>
      <c r="AD124" s="397"/>
      <c r="AE124" s="397"/>
      <c r="AF124" s="397"/>
      <c r="AG124" s="397"/>
      <c r="AH124" s="397"/>
      <c r="AI124" s="397"/>
      <c r="AJ124" s="397"/>
      <c r="AK124" s="397"/>
      <c r="AL124" s="397"/>
      <c r="AN124" s="203" t="s">
        <v>31</v>
      </c>
    </row>
    <row r="125" spans="1:60" ht="12.75" x14ac:dyDescent="0.2">
      <c r="B125" s="397"/>
      <c r="C125" s="397"/>
      <c r="D125" s="397"/>
      <c r="E125" s="397"/>
      <c r="F125" s="397"/>
      <c r="G125" s="397"/>
      <c r="H125" s="397"/>
      <c r="I125" s="397"/>
      <c r="J125" s="397"/>
      <c r="K125" s="397"/>
      <c r="L125" s="397"/>
      <c r="M125" s="397"/>
      <c r="N125" s="397"/>
      <c r="O125" s="397"/>
      <c r="P125" s="397"/>
      <c r="Q125" s="397"/>
      <c r="R125" s="397"/>
      <c r="S125" s="397"/>
      <c r="T125" s="397"/>
      <c r="U125" s="397"/>
      <c r="V125" s="397"/>
      <c r="W125" s="397"/>
      <c r="X125" s="397"/>
      <c r="Y125" s="397"/>
      <c r="Z125" s="397"/>
      <c r="AA125" s="397"/>
      <c r="AB125" s="397"/>
      <c r="AC125" s="397"/>
      <c r="AD125" s="397"/>
      <c r="AE125" s="397"/>
      <c r="AF125" s="397"/>
      <c r="AG125" s="397"/>
      <c r="AH125" s="397"/>
      <c r="AI125" s="397"/>
      <c r="AJ125" s="397"/>
      <c r="AK125" s="397"/>
      <c r="AL125" s="397"/>
      <c r="AN125" s="201" t="s">
        <v>34</v>
      </c>
    </row>
    <row r="126" spans="1:60" s="4" customFormat="1" ht="11.25" x14ac:dyDescent="0.2">
      <c r="B126" s="92" t="s">
        <v>29</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93"/>
      <c r="AH126" s="93"/>
      <c r="AI126" s="93"/>
      <c r="AJ126" s="93"/>
      <c r="AK126" s="93"/>
      <c r="AL126" s="94"/>
      <c r="AN126" s="203" t="s">
        <v>38</v>
      </c>
    </row>
    <row r="127" spans="1:60" s="4" customFormat="1" ht="11.25" x14ac:dyDescent="0.2">
      <c r="B127" s="393" t="s">
        <v>45</v>
      </c>
      <c r="C127" s="394"/>
      <c r="D127" s="394"/>
      <c r="E127" s="394"/>
      <c r="F127" s="394"/>
      <c r="G127" s="394"/>
      <c r="H127" s="394"/>
      <c r="I127" s="394"/>
      <c r="J127" s="394"/>
      <c r="K127" s="395"/>
      <c r="L127" s="393" t="s">
        <v>46</v>
      </c>
      <c r="M127" s="394"/>
      <c r="N127" s="394"/>
      <c r="O127" s="394"/>
      <c r="P127" s="394"/>
      <c r="Q127" s="394"/>
      <c r="R127" s="394"/>
      <c r="S127" s="394"/>
      <c r="T127" s="395"/>
      <c r="U127" s="393" t="s">
        <v>48</v>
      </c>
      <c r="V127" s="394"/>
      <c r="W127" s="394"/>
      <c r="X127" s="394"/>
      <c r="Y127" s="394"/>
      <c r="Z127" s="394"/>
      <c r="AA127" s="394"/>
      <c r="AB127" s="394"/>
      <c r="AC127" s="395"/>
      <c r="AD127" s="393" t="s">
        <v>47</v>
      </c>
      <c r="AE127" s="394"/>
      <c r="AF127" s="394"/>
      <c r="AG127" s="394"/>
      <c r="AH127" s="394"/>
      <c r="AI127" s="394"/>
      <c r="AJ127" s="394"/>
      <c r="AK127" s="394"/>
      <c r="AL127" s="395"/>
      <c r="AN127" s="201" t="s">
        <v>44</v>
      </c>
      <c r="AS127" s="53" t="s">
        <v>503</v>
      </c>
      <c r="AW127" s="53" t="s">
        <v>350</v>
      </c>
      <c r="BA127" s="53" t="s">
        <v>363</v>
      </c>
      <c r="BB127" s="53" t="s">
        <v>362</v>
      </c>
      <c r="BH127" s="53"/>
    </row>
    <row r="128" spans="1:60" s="4" customFormat="1" ht="21.6" customHeight="1" x14ac:dyDescent="0.2">
      <c r="B128" s="235">
        <v>1</v>
      </c>
      <c r="C128" s="350"/>
      <c r="D128" s="350"/>
      <c r="E128" s="350"/>
      <c r="F128" s="350"/>
      <c r="G128" s="350"/>
      <c r="H128" s="350"/>
      <c r="I128" s="350"/>
      <c r="J128" s="350"/>
      <c r="K128" s="350"/>
      <c r="L128" s="350"/>
      <c r="M128" s="350"/>
      <c r="N128" s="350"/>
      <c r="O128" s="350"/>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c r="AK128" s="350"/>
      <c r="AL128" s="350"/>
      <c r="AN128" s="203" t="s">
        <v>32</v>
      </c>
      <c r="AP128" s="142">
        <f>IF(C128=0,0,1)</f>
        <v>0</v>
      </c>
      <c r="AQ128" s="142">
        <f>IF(L128=0,0,1)</f>
        <v>0</v>
      </c>
      <c r="AR128" s="142">
        <f>IF(U128=0,0,1)</f>
        <v>0</v>
      </c>
      <c r="AS128" s="142">
        <f>IF(AD128=0,0,1)</f>
        <v>0</v>
      </c>
      <c r="AT128" s="127">
        <f t="shared" ref="AT128:AT135" si="3">IF(AND($AJ$33="Yes",C128=""),0,1)</f>
        <v>1</v>
      </c>
      <c r="AU128" s="127">
        <f t="shared" ref="AU128:AU135" si="4">IF(AND($AJ$33="Yes",L128=""),0,1)</f>
        <v>1</v>
      </c>
      <c r="AV128" s="127">
        <f t="shared" ref="AV128:AV135" si="5">IF(AND($AJ$33="Yes",U128=""),0,1)</f>
        <v>1</v>
      </c>
      <c r="AW128" s="127">
        <f t="shared" ref="AW128:AW135" si="6">IF(AND($AJ$33="Yes",AD128=""),0,1)</f>
        <v>1</v>
      </c>
      <c r="AX128" s="137">
        <f t="shared" ref="AX128:AX135" si="7">IF(AND(SUM(AT128:AW128)&gt;0,AT128=0),1,0)</f>
        <v>0</v>
      </c>
      <c r="AY128" s="137">
        <f t="shared" ref="AY128:AY135" si="8">IF(AND(SUM(AT128:AW128)&gt;0,AU128=0),1,0)</f>
        <v>0</v>
      </c>
      <c r="AZ128" s="137">
        <f t="shared" ref="AZ128:AZ135" si="9">IF(AND(SUM(AT128:AW128)&gt;0,AV128=0),1,0)</f>
        <v>0</v>
      </c>
      <c r="BA128" s="137">
        <f t="shared" ref="BA128:BA135" si="10">IF(AND(SUM(AT128:AW128)&gt;0,AW128=0),1,0)</f>
        <v>0</v>
      </c>
      <c r="BB128" s="53">
        <f t="shared" ref="BB128:BB135" si="11">IF(AND($AJ$33="No",OR(C128&lt;&gt;"",L128&lt;&gt;"",U128&lt;&gt;"",AD128&lt;&gt;"")),1,0)</f>
        <v>0</v>
      </c>
      <c r="BD128" s="44">
        <f>IF(AND(SUM(AY128:BB128)&gt;0,AY128=0),1,0)</f>
        <v>0</v>
      </c>
      <c r="BE128" s="44">
        <f>IF(AND(SUM(AZ128:BD128)&gt;0,AZ128=0),1,0)</f>
        <v>0</v>
      </c>
      <c r="BF128" s="44">
        <f>IF(AND(SUM(BA128:BE128)&gt;0,BA128=0),1,0)</f>
        <v>0</v>
      </c>
      <c r="BG128" s="44">
        <f>IF(AND(SUM(BB128:BF128)&gt;0,BB128=0),1,0)</f>
        <v>0</v>
      </c>
    </row>
    <row r="129" spans="1:59" s="4" customFormat="1" ht="21.6" customHeight="1" x14ac:dyDescent="0.2">
      <c r="B129" s="235">
        <v>2</v>
      </c>
      <c r="C129" s="350"/>
      <c r="D129" s="350"/>
      <c r="E129" s="350"/>
      <c r="F129" s="350"/>
      <c r="G129" s="350"/>
      <c r="H129" s="350"/>
      <c r="I129" s="350"/>
      <c r="J129" s="350"/>
      <c r="K129" s="350"/>
      <c r="L129" s="350"/>
      <c r="M129" s="350"/>
      <c r="N129" s="350"/>
      <c r="O129" s="350"/>
      <c r="P129" s="350"/>
      <c r="Q129" s="350"/>
      <c r="R129" s="350"/>
      <c r="S129" s="350"/>
      <c r="T129" s="350"/>
      <c r="U129" s="350"/>
      <c r="V129" s="350"/>
      <c r="W129" s="350"/>
      <c r="X129" s="350"/>
      <c r="Y129" s="350"/>
      <c r="Z129" s="350"/>
      <c r="AA129" s="350"/>
      <c r="AB129" s="350"/>
      <c r="AC129" s="350"/>
      <c r="AD129" s="350"/>
      <c r="AE129" s="350"/>
      <c r="AF129" s="350"/>
      <c r="AG129" s="350"/>
      <c r="AH129" s="350"/>
      <c r="AI129" s="350"/>
      <c r="AJ129" s="350"/>
      <c r="AK129" s="350"/>
      <c r="AL129" s="350"/>
      <c r="AN129" s="201" t="s">
        <v>35</v>
      </c>
      <c r="AP129" s="142">
        <f t="shared" ref="AP129:AP135" si="12">IF(C129=0,0,1)</f>
        <v>0</v>
      </c>
      <c r="AQ129" s="142">
        <f t="shared" ref="AQ129:AQ135" si="13">IF(L129=0,0,1)</f>
        <v>0</v>
      </c>
      <c r="AR129" s="142">
        <f t="shared" ref="AR129:AR135" si="14">IF(U129=0,0,1)</f>
        <v>0</v>
      </c>
      <c r="AS129" s="142">
        <f t="shared" ref="AS129:AS135" si="15">IF(AD129=0,0,1)</f>
        <v>0</v>
      </c>
      <c r="AT129" s="127">
        <f t="shared" si="3"/>
        <v>1</v>
      </c>
      <c r="AU129" s="127">
        <f t="shared" si="4"/>
        <v>1</v>
      </c>
      <c r="AV129" s="127">
        <f t="shared" si="5"/>
        <v>1</v>
      </c>
      <c r="AW129" s="127">
        <f t="shared" si="6"/>
        <v>1</v>
      </c>
      <c r="AX129" s="137">
        <f t="shared" si="7"/>
        <v>0</v>
      </c>
      <c r="AY129" s="137">
        <f t="shared" si="8"/>
        <v>0</v>
      </c>
      <c r="AZ129" s="137">
        <f t="shared" si="9"/>
        <v>0</v>
      </c>
      <c r="BA129" s="137">
        <f t="shared" si="10"/>
        <v>0</v>
      </c>
      <c r="BB129" s="53">
        <f t="shared" si="11"/>
        <v>0</v>
      </c>
      <c r="BD129" s="44">
        <f t="shared" ref="BD129:BD135" si="16">C129</f>
        <v>0</v>
      </c>
      <c r="BE129" s="44">
        <f t="shared" ref="BE129:BE135" si="17">L129</f>
        <v>0</v>
      </c>
      <c r="BF129" s="44">
        <f t="shared" ref="BF129:BF135" si="18">U129</f>
        <v>0</v>
      </c>
      <c r="BG129" s="44">
        <f t="shared" ref="BG129:BG135" si="19">AD129</f>
        <v>0</v>
      </c>
    </row>
    <row r="130" spans="1:59" s="4" customFormat="1" ht="21.6" customHeight="1" x14ac:dyDescent="0.2">
      <c r="B130" s="235">
        <v>3</v>
      </c>
      <c r="C130" s="350"/>
      <c r="D130" s="350"/>
      <c r="E130" s="350"/>
      <c r="F130" s="350"/>
      <c r="G130" s="350"/>
      <c r="H130" s="350"/>
      <c r="I130" s="350"/>
      <c r="J130" s="350"/>
      <c r="K130" s="350"/>
      <c r="L130" s="350"/>
      <c r="M130" s="350"/>
      <c r="N130" s="350"/>
      <c r="O130" s="350"/>
      <c r="P130" s="350"/>
      <c r="Q130" s="350"/>
      <c r="R130" s="350"/>
      <c r="S130" s="350"/>
      <c r="T130" s="350"/>
      <c r="U130" s="350"/>
      <c r="V130" s="350"/>
      <c r="W130" s="350"/>
      <c r="X130" s="350"/>
      <c r="Y130" s="350"/>
      <c r="Z130" s="350"/>
      <c r="AA130" s="350"/>
      <c r="AB130" s="350"/>
      <c r="AC130" s="350"/>
      <c r="AD130" s="350"/>
      <c r="AE130" s="350"/>
      <c r="AF130" s="350"/>
      <c r="AG130" s="350"/>
      <c r="AH130" s="350"/>
      <c r="AI130" s="350"/>
      <c r="AJ130" s="350"/>
      <c r="AK130" s="350"/>
      <c r="AL130" s="350"/>
      <c r="AN130" s="203" t="s">
        <v>39</v>
      </c>
      <c r="AP130" s="142">
        <f t="shared" si="12"/>
        <v>0</v>
      </c>
      <c r="AQ130" s="142">
        <f t="shared" si="13"/>
        <v>0</v>
      </c>
      <c r="AR130" s="142">
        <f t="shared" si="14"/>
        <v>0</v>
      </c>
      <c r="AS130" s="142">
        <f t="shared" si="15"/>
        <v>0</v>
      </c>
      <c r="AT130" s="127">
        <f t="shared" si="3"/>
        <v>1</v>
      </c>
      <c r="AU130" s="127">
        <f t="shared" si="4"/>
        <v>1</v>
      </c>
      <c r="AV130" s="127">
        <f t="shared" si="5"/>
        <v>1</v>
      </c>
      <c r="AW130" s="127">
        <f t="shared" si="6"/>
        <v>1</v>
      </c>
      <c r="AX130" s="137">
        <f t="shared" si="7"/>
        <v>0</v>
      </c>
      <c r="AY130" s="137">
        <f t="shared" si="8"/>
        <v>0</v>
      </c>
      <c r="AZ130" s="137">
        <f t="shared" si="9"/>
        <v>0</v>
      </c>
      <c r="BA130" s="137">
        <f t="shared" si="10"/>
        <v>0</v>
      </c>
      <c r="BB130" s="53">
        <f t="shared" si="11"/>
        <v>0</v>
      </c>
      <c r="BD130" s="44">
        <f t="shared" si="16"/>
        <v>0</v>
      </c>
      <c r="BE130" s="44">
        <f t="shared" si="17"/>
        <v>0</v>
      </c>
      <c r="BF130" s="44">
        <f t="shared" si="18"/>
        <v>0</v>
      </c>
      <c r="BG130" s="44">
        <f t="shared" si="19"/>
        <v>0</v>
      </c>
    </row>
    <row r="131" spans="1:59" s="4" customFormat="1" ht="21.6" customHeight="1" x14ac:dyDescent="0.2">
      <c r="B131" s="235">
        <v>4</v>
      </c>
      <c r="C131" s="350"/>
      <c r="D131" s="350"/>
      <c r="E131" s="350"/>
      <c r="F131" s="350"/>
      <c r="G131" s="350"/>
      <c r="H131" s="350"/>
      <c r="I131" s="350"/>
      <c r="J131" s="350"/>
      <c r="K131" s="350"/>
      <c r="L131" s="350"/>
      <c r="M131" s="350"/>
      <c r="N131" s="350"/>
      <c r="O131" s="350"/>
      <c r="P131" s="350"/>
      <c r="Q131" s="350"/>
      <c r="R131" s="350"/>
      <c r="S131" s="350"/>
      <c r="T131" s="350"/>
      <c r="U131" s="350"/>
      <c r="V131" s="350"/>
      <c r="W131" s="350"/>
      <c r="X131" s="350"/>
      <c r="Y131" s="350"/>
      <c r="Z131" s="350"/>
      <c r="AA131" s="350"/>
      <c r="AB131" s="350"/>
      <c r="AC131" s="350"/>
      <c r="AD131" s="350"/>
      <c r="AE131" s="350"/>
      <c r="AF131" s="350"/>
      <c r="AG131" s="350"/>
      <c r="AH131" s="350"/>
      <c r="AI131" s="350"/>
      <c r="AJ131" s="350"/>
      <c r="AK131" s="350"/>
      <c r="AL131" s="350"/>
      <c r="AN131" s="201" t="s">
        <v>42</v>
      </c>
      <c r="AP131" s="142">
        <f t="shared" si="12"/>
        <v>0</v>
      </c>
      <c r="AQ131" s="142">
        <f t="shared" si="13"/>
        <v>0</v>
      </c>
      <c r="AR131" s="142">
        <f t="shared" si="14"/>
        <v>0</v>
      </c>
      <c r="AS131" s="142">
        <f t="shared" si="15"/>
        <v>0</v>
      </c>
      <c r="AT131" s="127">
        <f t="shared" si="3"/>
        <v>1</v>
      </c>
      <c r="AU131" s="127">
        <f t="shared" si="4"/>
        <v>1</v>
      </c>
      <c r="AV131" s="127">
        <f t="shared" si="5"/>
        <v>1</v>
      </c>
      <c r="AW131" s="127">
        <f t="shared" si="6"/>
        <v>1</v>
      </c>
      <c r="AX131" s="137">
        <f t="shared" si="7"/>
        <v>0</v>
      </c>
      <c r="AY131" s="137">
        <f t="shared" si="8"/>
        <v>0</v>
      </c>
      <c r="AZ131" s="137">
        <f t="shared" si="9"/>
        <v>0</v>
      </c>
      <c r="BA131" s="137">
        <f t="shared" si="10"/>
        <v>0</v>
      </c>
      <c r="BB131" s="53">
        <f t="shared" si="11"/>
        <v>0</v>
      </c>
      <c r="BD131" s="44">
        <f t="shared" si="16"/>
        <v>0</v>
      </c>
      <c r="BE131" s="44">
        <f t="shared" si="17"/>
        <v>0</v>
      </c>
      <c r="BF131" s="44">
        <f t="shared" si="18"/>
        <v>0</v>
      </c>
      <c r="BG131" s="44">
        <f t="shared" si="19"/>
        <v>0</v>
      </c>
    </row>
    <row r="132" spans="1:59" s="4" customFormat="1" ht="21.6" customHeight="1" x14ac:dyDescent="0.2">
      <c r="B132" s="235">
        <v>5</v>
      </c>
      <c r="C132" s="350"/>
      <c r="D132" s="350"/>
      <c r="E132" s="350"/>
      <c r="F132" s="350"/>
      <c r="G132" s="350"/>
      <c r="H132" s="350"/>
      <c r="I132" s="350"/>
      <c r="J132" s="350"/>
      <c r="K132" s="350"/>
      <c r="L132" s="350"/>
      <c r="M132" s="350"/>
      <c r="N132" s="350"/>
      <c r="O132" s="350"/>
      <c r="P132" s="350"/>
      <c r="Q132" s="350"/>
      <c r="R132" s="350"/>
      <c r="S132" s="350"/>
      <c r="T132" s="350"/>
      <c r="U132" s="350"/>
      <c r="V132" s="350"/>
      <c r="W132" s="350"/>
      <c r="X132" s="350"/>
      <c r="Y132" s="350"/>
      <c r="Z132" s="350"/>
      <c r="AA132" s="350"/>
      <c r="AB132" s="350"/>
      <c r="AC132" s="350"/>
      <c r="AD132" s="350"/>
      <c r="AE132" s="350"/>
      <c r="AF132" s="350"/>
      <c r="AG132" s="350"/>
      <c r="AH132" s="350"/>
      <c r="AI132" s="350"/>
      <c r="AJ132" s="350"/>
      <c r="AK132" s="350"/>
      <c r="AL132" s="350"/>
      <c r="AN132" s="203" t="s">
        <v>21</v>
      </c>
      <c r="AP132" s="142">
        <f t="shared" si="12"/>
        <v>0</v>
      </c>
      <c r="AQ132" s="142">
        <f t="shared" si="13"/>
        <v>0</v>
      </c>
      <c r="AR132" s="142">
        <f t="shared" si="14"/>
        <v>0</v>
      </c>
      <c r="AS132" s="142">
        <f t="shared" si="15"/>
        <v>0</v>
      </c>
      <c r="AT132" s="127">
        <f t="shared" si="3"/>
        <v>1</v>
      </c>
      <c r="AU132" s="127">
        <f t="shared" si="4"/>
        <v>1</v>
      </c>
      <c r="AV132" s="127">
        <f t="shared" si="5"/>
        <v>1</v>
      </c>
      <c r="AW132" s="127">
        <f t="shared" si="6"/>
        <v>1</v>
      </c>
      <c r="AX132" s="137">
        <f t="shared" si="7"/>
        <v>0</v>
      </c>
      <c r="AY132" s="137">
        <f t="shared" si="8"/>
        <v>0</v>
      </c>
      <c r="AZ132" s="137">
        <f t="shared" si="9"/>
        <v>0</v>
      </c>
      <c r="BA132" s="137">
        <f t="shared" si="10"/>
        <v>0</v>
      </c>
      <c r="BB132" s="53">
        <f t="shared" si="11"/>
        <v>0</v>
      </c>
      <c r="BD132" s="44">
        <f t="shared" si="16"/>
        <v>0</v>
      </c>
      <c r="BE132" s="44">
        <f t="shared" si="17"/>
        <v>0</v>
      </c>
      <c r="BF132" s="44">
        <f t="shared" si="18"/>
        <v>0</v>
      </c>
      <c r="BG132" s="44">
        <f t="shared" si="19"/>
        <v>0</v>
      </c>
    </row>
    <row r="133" spans="1:59" s="4" customFormat="1" ht="21.6" customHeight="1" x14ac:dyDescent="0.2">
      <c r="B133" s="235">
        <v>6</v>
      </c>
      <c r="C133" s="350"/>
      <c r="D133" s="350"/>
      <c r="E133" s="350"/>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N133" s="201" t="s">
        <v>36</v>
      </c>
      <c r="AP133" s="142">
        <f t="shared" si="12"/>
        <v>0</v>
      </c>
      <c r="AQ133" s="142">
        <f t="shared" si="13"/>
        <v>0</v>
      </c>
      <c r="AR133" s="142">
        <f t="shared" si="14"/>
        <v>0</v>
      </c>
      <c r="AS133" s="142">
        <f t="shared" si="15"/>
        <v>0</v>
      </c>
      <c r="AT133" s="127">
        <f t="shared" si="3"/>
        <v>1</v>
      </c>
      <c r="AU133" s="127">
        <f t="shared" si="4"/>
        <v>1</v>
      </c>
      <c r="AV133" s="127">
        <f t="shared" si="5"/>
        <v>1</v>
      </c>
      <c r="AW133" s="127">
        <f t="shared" si="6"/>
        <v>1</v>
      </c>
      <c r="AX133" s="137">
        <f t="shared" si="7"/>
        <v>0</v>
      </c>
      <c r="AY133" s="137">
        <f t="shared" si="8"/>
        <v>0</v>
      </c>
      <c r="AZ133" s="137">
        <f t="shared" si="9"/>
        <v>0</v>
      </c>
      <c r="BA133" s="137">
        <f t="shared" si="10"/>
        <v>0</v>
      </c>
      <c r="BB133" s="53">
        <f t="shared" si="11"/>
        <v>0</v>
      </c>
      <c r="BD133" s="44">
        <f t="shared" si="16"/>
        <v>0</v>
      </c>
      <c r="BE133" s="44">
        <f t="shared" si="17"/>
        <v>0</v>
      </c>
      <c r="BF133" s="44">
        <f t="shared" si="18"/>
        <v>0</v>
      </c>
      <c r="BG133" s="44">
        <f t="shared" si="19"/>
        <v>0</v>
      </c>
    </row>
    <row r="134" spans="1:59" s="4" customFormat="1" ht="21.6" customHeight="1" x14ac:dyDescent="0.2">
      <c r="B134" s="235">
        <v>7</v>
      </c>
      <c r="C134" s="350"/>
      <c r="D134" s="350"/>
      <c r="E134" s="350"/>
      <c r="F134" s="350"/>
      <c r="G134" s="350"/>
      <c r="H134" s="350"/>
      <c r="I134" s="350"/>
      <c r="J134" s="350"/>
      <c r="K134" s="350"/>
      <c r="L134" s="350"/>
      <c r="M134" s="350"/>
      <c r="N134" s="350"/>
      <c r="O134" s="350"/>
      <c r="P134" s="350"/>
      <c r="Q134" s="350"/>
      <c r="R134" s="350"/>
      <c r="S134" s="350"/>
      <c r="T134" s="350"/>
      <c r="U134" s="350"/>
      <c r="V134" s="350"/>
      <c r="W134" s="350"/>
      <c r="X134" s="350"/>
      <c r="Y134" s="350"/>
      <c r="Z134" s="350"/>
      <c r="AA134" s="350"/>
      <c r="AB134" s="350"/>
      <c r="AC134" s="350"/>
      <c r="AD134" s="350"/>
      <c r="AE134" s="350"/>
      <c r="AF134" s="350"/>
      <c r="AG134" s="350"/>
      <c r="AH134" s="350"/>
      <c r="AI134" s="350"/>
      <c r="AJ134" s="350"/>
      <c r="AK134" s="350"/>
      <c r="AL134" s="350"/>
      <c r="AN134" s="203" t="s">
        <v>40</v>
      </c>
      <c r="AP134" s="142">
        <f t="shared" si="12"/>
        <v>0</v>
      </c>
      <c r="AQ134" s="142">
        <f t="shared" si="13"/>
        <v>0</v>
      </c>
      <c r="AR134" s="142">
        <f t="shared" si="14"/>
        <v>0</v>
      </c>
      <c r="AS134" s="142">
        <f t="shared" si="15"/>
        <v>0</v>
      </c>
      <c r="AT134" s="127">
        <f t="shared" si="3"/>
        <v>1</v>
      </c>
      <c r="AU134" s="127">
        <f t="shared" si="4"/>
        <v>1</v>
      </c>
      <c r="AV134" s="127">
        <f t="shared" si="5"/>
        <v>1</v>
      </c>
      <c r="AW134" s="127">
        <f t="shared" si="6"/>
        <v>1</v>
      </c>
      <c r="AX134" s="137">
        <f t="shared" si="7"/>
        <v>0</v>
      </c>
      <c r="AY134" s="137">
        <f t="shared" si="8"/>
        <v>0</v>
      </c>
      <c r="AZ134" s="137">
        <f t="shared" si="9"/>
        <v>0</v>
      </c>
      <c r="BA134" s="137">
        <f t="shared" si="10"/>
        <v>0</v>
      </c>
      <c r="BB134" s="53">
        <f t="shared" si="11"/>
        <v>0</v>
      </c>
      <c r="BD134" s="44">
        <f t="shared" si="16"/>
        <v>0</v>
      </c>
      <c r="BE134" s="44">
        <f t="shared" si="17"/>
        <v>0</v>
      </c>
      <c r="BF134" s="44">
        <f t="shared" si="18"/>
        <v>0</v>
      </c>
      <c r="BG134" s="44">
        <f t="shared" si="19"/>
        <v>0</v>
      </c>
    </row>
    <row r="135" spans="1:59" s="4" customFormat="1" ht="21.6" customHeight="1" x14ac:dyDescent="0.2">
      <c r="B135" s="235">
        <v>8</v>
      </c>
      <c r="C135" s="350"/>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N135" s="201" t="s">
        <v>43</v>
      </c>
      <c r="AP135" s="142">
        <f t="shared" si="12"/>
        <v>0</v>
      </c>
      <c r="AQ135" s="142">
        <f t="shared" si="13"/>
        <v>0</v>
      </c>
      <c r="AR135" s="142">
        <f t="shared" si="14"/>
        <v>0</v>
      </c>
      <c r="AS135" s="142">
        <f t="shared" si="15"/>
        <v>0</v>
      </c>
      <c r="AT135" s="127">
        <f t="shared" si="3"/>
        <v>1</v>
      </c>
      <c r="AU135" s="127">
        <f t="shared" si="4"/>
        <v>1</v>
      </c>
      <c r="AV135" s="127">
        <f t="shared" si="5"/>
        <v>1</v>
      </c>
      <c r="AW135" s="127">
        <f t="shared" si="6"/>
        <v>1</v>
      </c>
      <c r="AX135" s="137">
        <f t="shared" si="7"/>
        <v>0</v>
      </c>
      <c r="AY135" s="137">
        <f t="shared" si="8"/>
        <v>0</v>
      </c>
      <c r="AZ135" s="137">
        <f t="shared" si="9"/>
        <v>0</v>
      </c>
      <c r="BA135" s="137">
        <f t="shared" si="10"/>
        <v>0</v>
      </c>
      <c r="BB135" s="53">
        <f t="shared" si="11"/>
        <v>0</v>
      </c>
      <c r="BD135" s="44">
        <f t="shared" si="16"/>
        <v>0</v>
      </c>
      <c r="BE135" s="44">
        <f t="shared" si="17"/>
        <v>0</v>
      </c>
      <c r="BF135" s="44">
        <f t="shared" si="18"/>
        <v>0</v>
      </c>
      <c r="BG135" s="44">
        <f t="shared" si="19"/>
        <v>0</v>
      </c>
    </row>
    <row r="136" spans="1:59" s="4" customFormat="1" ht="11.25" x14ac:dyDescent="0.2">
      <c r="AJ136" s="344" t="s">
        <v>551</v>
      </c>
      <c r="AK136" s="344"/>
      <c r="AL136" s="344"/>
      <c r="AN136" s="203" t="s">
        <v>33</v>
      </c>
    </row>
    <row r="137" spans="1:59" x14ac:dyDescent="0.2">
      <c r="A137" s="12">
        <v>5</v>
      </c>
      <c r="B137" s="12" t="s">
        <v>49</v>
      </c>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N137" s="201" t="s">
        <v>37</v>
      </c>
    </row>
    <row r="138" spans="1:59" x14ac:dyDescent="0.2">
      <c r="A138" s="13"/>
      <c r="B138" s="233" t="s">
        <v>50</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N138" s="215" t="s">
        <v>41</v>
      </c>
    </row>
    <row r="139" spans="1:59" ht="57.6" customHeight="1" x14ac:dyDescent="0.2">
      <c r="A139" s="13"/>
      <c r="B139" s="341"/>
      <c r="C139" s="342"/>
      <c r="D139" s="342"/>
      <c r="E139" s="342"/>
      <c r="F139" s="342"/>
      <c r="G139" s="342"/>
      <c r="H139" s="342"/>
      <c r="I139" s="342"/>
      <c r="J139" s="342"/>
      <c r="K139" s="342"/>
      <c r="L139" s="342"/>
      <c r="M139" s="342"/>
      <c r="N139" s="342"/>
      <c r="O139" s="342"/>
      <c r="P139" s="342"/>
      <c r="Q139" s="342"/>
      <c r="R139" s="342"/>
      <c r="S139" s="342"/>
      <c r="T139" s="342"/>
      <c r="U139" s="342"/>
      <c r="V139" s="342"/>
      <c r="W139" s="342"/>
      <c r="X139" s="342"/>
      <c r="Y139" s="342"/>
      <c r="Z139" s="342"/>
      <c r="AA139" s="342"/>
      <c r="AB139" s="342"/>
      <c r="AC139" s="342"/>
      <c r="AD139" s="342"/>
      <c r="AE139" s="342"/>
      <c r="AF139" s="342"/>
      <c r="AG139" s="342"/>
      <c r="AH139" s="342"/>
      <c r="AI139" s="342"/>
      <c r="AJ139" s="342"/>
      <c r="AK139" s="342"/>
      <c r="AL139" s="343"/>
      <c r="BC139" s="43">
        <f>B139</f>
        <v>0</v>
      </c>
    </row>
    <row r="140" spans="1:59" s="4" customFormat="1" ht="11.25" x14ac:dyDescent="0.2">
      <c r="AG140" s="213"/>
      <c r="AH140" s="213"/>
      <c r="AI140" s="213"/>
      <c r="AJ140" s="344" t="s">
        <v>551</v>
      </c>
      <c r="AK140" s="344"/>
      <c r="AL140" s="344"/>
    </row>
    <row r="141" spans="1:59" x14ac:dyDescent="0.2">
      <c r="A141" s="3">
        <v>6</v>
      </c>
      <c r="B141" s="3" t="s">
        <v>137</v>
      </c>
    </row>
    <row r="142" spans="1:59" ht="12.75" x14ac:dyDescent="0.2">
      <c r="B142" s="73" t="s">
        <v>138</v>
      </c>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row>
    <row r="143" spans="1:59" ht="57.6" customHeight="1" x14ac:dyDescent="0.2">
      <c r="B143" s="341"/>
      <c r="C143" s="342"/>
      <c r="D143" s="342"/>
      <c r="E143" s="342"/>
      <c r="F143" s="342"/>
      <c r="G143" s="342"/>
      <c r="H143" s="342"/>
      <c r="I143" s="342"/>
      <c r="J143" s="342"/>
      <c r="K143" s="342"/>
      <c r="L143" s="342"/>
      <c r="M143" s="342"/>
      <c r="N143" s="342"/>
      <c r="O143" s="342"/>
      <c r="P143" s="342"/>
      <c r="Q143" s="342"/>
      <c r="R143" s="342"/>
      <c r="S143" s="342"/>
      <c r="T143" s="342"/>
      <c r="U143" s="342"/>
      <c r="V143" s="342"/>
      <c r="W143" s="342"/>
      <c r="X143" s="342"/>
      <c r="Y143" s="342"/>
      <c r="Z143" s="342"/>
      <c r="AA143" s="342"/>
      <c r="AB143" s="342"/>
      <c r="AC143" s="342"/>
      <c r="AD143" s="342"/>
      <c r="AE143" s="342"/>
      <c r="AF143" s="342"/>
      <c r="AG143" s="342"/>
      <c r="AH143" s="342"/>
      <c r="AI143" s="342"/>
      <c r="AJ143" s="342"/>
      <c r="AK143" s="342"/>
      <c r="AL143" s="343"/>
      <c r="BC143" s="43">
        <f>B143</f>
        <v>0</v>
      </c>
    </row>
    <row r="144" spans="1:59" s="4" customFormat="1" ht="11.25" x14ac:dyDescent="0.2">
      <c r="AJ144" s="344" t="s">
        <v>551</v>
      </c>
      <c r="AK144" s="344"/>
      <c r="AL144" s="344"/>
    </row>
    <row r="145" spans="1:54" x14ac:dyDescent="0.2">
      <c r="A145" s="3">
        <v>7</v>
      </c>
      <c r="B145" s="3" t="s">
        <v>51</v>
      </c>
    </row>
    <row r="146" spans="1:54" ht="12.75" x14ac:dyDescent="0.2">
      <c r="B146" s="73" t="s">
        <v>317</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row>
    <row r="147" spans="1:54" s="4" customFormat="1" ht="11.25" x14ac:dyDescent="0.2">
      <c r="B147" s="351" t="s">
        <v>51</v>
      </c>
      <c r="C147" s="351"/>
      <c r="D147" s="351"/>
      <c r="E147" s="351"/>
      <c r="F147" s="351"/>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S147" s="53" t="s">
        <v>503</v>
      </c>
      <c r="AT147" s="53" t="s">
        <v>350</v>
      </c>
      <c r="AU147" s="53" t="s">
        <v>362</v>
      </c>
    </row>
    <row r="148" spans="1:54" s="4" customFormat="1" ht="11.25" x14ac:dyDescent="0.2">
      <c r="B148" s="173">
        <v>1</v>
      </c>
      <c r="C148" s="174" t="s">
        <v>15</v>
      </c>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5"/>
      <c r="AG148" s="314">
        <v>0</v>
      </c>
      <c r="AH148" s="314"/>
      <c r="AI148" s="314"/>
      <c r="AJ148" s="314"/>
      <c r="AK148" s="314"/>
      <c r="AL148" s="314"/>
      <c r="AS148" s="142">
        <f>IF(AG148=0,0,1)</f>
        <v>0</v>
      </c>
      <c r="AT148" s="135">
        <f>IF(AND(AJ34="Yes",AG151=0),0,1)</f>
        <v>1</v>
      </c>
      <c r="AU148" s="4">
        <f>IF(AND(AJ34="No",AG151&gt;0),1,0)</f>
        <v>0</v>
      </c>
    </row>
    <row r="149" spans="1:54" s="4" customFormat="1" ht="11.25" x14ac:dyDescent="0.2">
      <c r="B149" s="173">
        <v>2</v>
      </c>
      <c r="C149" s="174" t="s">
        <v>16</v>
      </c>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5"/>
      <c r="AG149" s="314">
        <v>0</v>
      </c>
      <c r="AH149" s="314"/>
      <c r="AI149" s="314"/>
      <c r="AJ149" s="314"/>
      <c r="AK149" s="314"/>
      <c r="AL149" s="314"/>
      <c r="AS149" s="142">
        <f t="shared" ref="AS149:AS150" si="20">IF(AG149=0,0,1)</f>
        <v>0</v>
      </c>
    </row>
    <row r="150" spans="1:54" s="4" customFormat="1" ht="11.25" x14ac:dyDescent="0.2">
      <c r="B150" s="173">
        <v>3</v>
      </c>
      <c r="C150" s="172" t="s">
        <v>140</v>
      </c>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5"/>
      <c r="AG150" s="314">
        <v>0</v>
      </c>
      <c r="AH150" s="314"/>
      <c r="AI150" s="314"/>
      <c r="AJ150" s="314"/>
      <c r="AK150" s="314"/>
      <c r="AL150" s="314"/>
      <c r="AS150" s="142">
        <f t="shared" si="20"/>
        <v>0</v>
      </c>
    </row>
    <row r="151" spans="1:54" s="4" customFormat="1" ht="11.25" x14ac:dyDescent="0.2">
      <c r="B151" s="182">
        <v>4</v>
      </c>
      <c r="C151" s="183" t="s">
        <v>141</v>
      </c>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4"/>
      <c r="Z151" s="75"/>
      <c r="AA151" s="183"/>
      <c r="AB151" s="183"/>
      <c r="AC151" s="183"/>
      <c r="AD151" s="183"/>
      <c r="AE151" s="183"/>
      <c r="AF151" s="184"/>
      <c r="AG151" s="364">
        <f>SUM(AG148+AG149+AG150)</f>
        <v>0</v>
      </c>
      <c r="AH151" s="364"/>
      <c r="AI151" s="364"/>
      <c r="AJ151" s="364"/>
      <c r="AK151" s="364"/>
      <c r="AL151" s="364"/>
    </row>
    <row r="152" spans="1:54" s="4" customFormat="1" ht="11.25" x14ac:dyDescent="0.2">
      <c r="A152" s="10"/>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7"/>
      <c r="AA152" s="139"/>
      <c r="AB152" s="139"/>
      <c r="AC152" s="139"/>
      <c r="AD152" s="139"/>
      <c r="AE152" s="139"/>
      <c r="AF152" s="139"/>
      <c r="AG152" s="139"/>
      <c r="AH152" s="139"/>
      <c r="AI152" s="139"/>
      <c r="AJ152" s="139"/>
      <c r="AK152" s="139"/>
      <c r="AL152" s="139"/>
      <c r="AP152" s="53" t="s">
        <v>365</v>
      </c>
    </row>
    <row r="153" spans="1:54" ht="12.75" x14ac:dyDescent="0.2">
      <c r="A153" s="411" t="str">
        <f>IF(NOT(AND(A41="Looking good! Proceed to Part 1.",A121="")),"",IF(AND(AP41=1,AP121=1,AJ33="Yes",SUM(AT128:AW135)=0),"Enter information for barrier number 1.",IF(SUM(AX128:BA135)&gt;0,"Complete the entry.",IF(SUM(BB128:BB135)&gt;0,"Error. You have entered barrier data, but your coversheet indicates that you did not encounter any barriers. Please resolve this discrepancy.",IF(AT148=0,"Complete the waitlist data table.",IF(AU148&gt;0,"Error. You have entered waitlist data, but your coversheet indicates that you do not currently have any waitlists. Please resolve this discrepancy.","Looking good! Proceed to Part 2."))))))</f>
        <v/>
      </c>
      <c r="B153" s="411"/>
      <c r="C153" s="411"/>
      <c r="D153" s="411"/>
      <c r="E153" s="411"/>
      <c r="F153" s="411"/>
      <c r="G153" s="411"/>
      <c r="H153" s="411"/>
      <c r="I153" s="411"/>
      <c r="J153" s="411"/>
      <c r="K153" s="411"/>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P153" s="212">
        <f>IF(AND(A153="Looking good! Proceed to Part 2.",SUM(AT128:AW135)&gt;0,SUM(AX128:BA135)=0,SUM(BB128:BB135)=0,SUM(AT148)&gt;0,SUM(AU148)=0),1,0)</f>
        <v>0</v>
      </c>
    </row>
    <row r="154" spans="1:54" s="2" customFormat="1" ht="15.75" x14ac:dyDescent="0.25">
      <c r="A154" s="11" t="s">
        <v>319</v>
      </c>
      <c r="B154" s="11"/>
      <c r="C154" s="11" t="s">
        <v>106</v>
      </c>
      <c r="D154" s="11"/>
      <c r="AM154" s="1"/>
      <c r="BB154" s="10"/>
    </row>
    <row r="155" spans="1:54" ht="12.75" x14ac:dyDescent="0.2">
      <c r="A155" s="73" t="s">
        <v>379</v>
      </c>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c r="AL155" s="170"/>
    </row>
    <row r="156" spans="1:54" s="4" customFormat="1" ht="11.25" x14ac:dyDescent="0.2">
      <c r="A156" s="14" t="s">
        <v>188</v>
      </c>
      <c r="B156" s="15"/>
      <c r="C156" s="15"/>
      <c r="D156" s="15"/>
      <c r="E156" s="15"/>
      <c r="F156" s="15"/>
      <c r="G156" s="15"/>
      <c r="H156" s="15"/>
      <c r="I156" s="15"/>
      <c r="J156" s="15"/>
      <c r="K156" s="15"/>
      <c r="L156" s="15"/>
      <c r="M156" s="15"/>
      <c r="N156" s="15"/>
      <c r="O156" s="15"/>
      <c r="P156" s="15"/>
      <c r="Q156" s="15"/>
      <c r="R156" s="76" t="s">
        <v>171</v>
      </c>
      <c r="S156" s="76"/>
      <c r="T156" s="76"/>
      <c r="U156" s="76"/>
      <c r="V156" s="76"/>
      <c r="W156" s="76"/>
      <c r="X156" s="76"/>
      <c r="Y156" s="76"/>
      <c r="Z156" s="76"/>
      <c r="AA156" s="76"/>
      <c r="AB156" s="76"/>
      <c r="AC156" s="80"/>
      <c r="AD156" s="76" t="s">
        <v>172</v>
      </c>
      <c r="AE156" s="76"/>
      <c r="AF156" s="76"/>
      <c r="AG156" s="76"/>
      <c r="AH156" s="76"/>
      <c r="AI156" s="76"/>
      <c r="AJ156" s="76"/>
      <c r="AK156" s="76"/>
      <c r="AL156" s="77"/>
      <c r="AY156" s="53" t="s">
        <v>367</v>
      </c>
      <c r="AZ156" s="53" t="s">
        <v>368</v>
      </c>
      <c r="BA156" s="53" t="s">
        <v>368</v>
      </c>
      <c r="BB156" s="53" t="s">
        <v>371</v>
      </c>
    </row>
    <row r="157" spans="1:54" s="4" customFormat="1" ht="11.25" x14ac:dyDescent="0.2">
      <c r="A157" s="16"/>
      <c r="B157" s="17"/>
      <c r="C157" s="17"/>
      <c r="D157" s="17"/>
      <c r="E157" s="17"/>
      <c r="F157" s="17"/>
      <c r="G157" s="17"/>
      <c r="H157" s="17"/>
      <c r="I157" s="17"/>
      <c r="J157" s="17"/>
      <c r="K157" s="17"/>
      <c r="L157" s="17"/>
      <c r="M157" s="17"/>
      <c r="N157" s="17"/>
      <c r="O157" s="17"/>
      <c r="P157" s="17"/>
      <c r="Q157" s="18"/>
      <c r="R157" s="23"/>
      <c r="S157" s="23"/>
      <c r="T157" s="115" t="s">
        <v>55</v>
      </c>
      <c r="U157" s="116"/>
      <c r="V157" s="117"/>
      <c r="W157" s="115" t="s">
        <v>56</v>
      </c>
      <c r="X157" s="79"/>
      <c r="Y157" s="33"/>
      <c r="Z157" s="115" t="s">
        <v>92</v>
      </c>
      <c r="AA157" s="116"/>
      <c r="AB157" s="117"/>
      <c r="AC157" s="115" t="s">
        <v>93</v>
      </c>
      <c r="AD157" s="79"/>
      <c r="AE157" s="33"/>
      <c r="AF157" s="115" t="s">
        <v>55</v>
      </c>
      <c r="AG157" s="116"/>
      <c r="AH157" s="117"/>
      <c r="AI157" s="115" t="s">
        <v>56</v>
      </c>
      <c r="AJ157" s="116"/>
      <c r="AK157" s="117"/>
      <c r="AL157" s="115" t="s">
        <v>93</v>
      </c>
      <c r="AM157" s="4" t="s">
        <v>375</v>
      </c>
      <c r="AR157" s="53" t="s">
        <v>366</v>
      </c>
      <c r="AS157" s="10"/>
      <c r="AT157" s="53" t="s">
        <v>350</v>
      </c>
      <c r="AU157" s="10"/>
      <c r="AX157" s="53" t="s">
        <v>363</v>
      </c>
      <c r="AY157" s="53" t="s">
        <v>362</v>
      </c>
      <c r="AZ157" s="53" t="s">
        <v>369</v>
      </c>
      <c r="BA157" s="53" t="s">
        <v>370</v>
      </c>
      <c r="BB157" s="53" t="s">
        <v>362</v>
      </c>
    </row>
    <row r="158" spans="1:54" s="4" customFormat="1" ht="11.25" x14ac:dyDescent="0.2">
      <c r="A158" s="173">
        <v>1</v>
      </c>
      <c r="B158" s="174" t="s">
        <v>323</v>
      </c>
      <c r="C158" s="174"/>
      <c r="D158" s="174"/>
      <c r="E158" s="174"/>
      <c r="F158" s="174"/>
      <c r="G158" s="174"/>
      <c r="H158" s="174"/>
      <c r="I158" s="174"/>
      <c r="J158" s="174"/>
      <c r="K158" s="174"/>
      <c r="L158" s="174"/>
      <c r="M158" s="174"/>
      <c r="N158" s="174"/>
      <c r="O158" s="174"/>
      <c r="P158" s="174"/>
      <c r="Q158" s="175"/>
      <c r="R158" s="295">
        <v>0</v>
      </c>
      <c r="S158" s="314"/>
      <c r="T158" s="314"/>
      <c r="U158" s="314">
        <v>0</v>
      </c>
      <c r="V158" s="314"/>
      <c r="W158" s="314"/>
      <c r="X158" s="314">
        <v>0</v>
      </c>
      <c r="Y158" s="314"/>
      <c r="Z158" s="314"/>
      <c r="AA158" s="325">
        <f>SUM(R158:W158)-X158</f>
        <v>0</v>
      </c>
      <c r="AB158" s="325"/>
      <c r="AC158" s="325"/>
      <c r="AD158" s="339">
        <v>0</v>
      </c>
      <c r="AE158" s="339"/>
      <c r="AF158" s="339"/>
      <c r="AG158" s="339">
        <v>0</v>
      </c>
      <c r="AH158" s="339"/>
      <c r="AI158" s="339"/>
      <c r="AJ158" s="340">
        <f>SUM(AD158:AI158)</f>
        <v>0</v>
      </c>
      <c r="AK158" s="340"/>
      <c r="AL158" s="340"/>
      <c r="AM158" s="143">
        <f>AQ26</f>
        <v>0</v>
      </c>
      <c r="AN158" s="142">
        <f>IF(R158=0,0,1)</f>
        <v>0</v>
      </c>
      <c r="AO158" s="142">
        <f>IF(U158=0,0,1)</f>
        <v>0</v>
      </c>
      <c r="AP158" s="142">
        <f>IF(X158=0,0,1)</f>
        <v>0</v>
      </c>
      <c r="AQ158" s="142">
        <f>IF(AD158=0,0,1)</f>
        <v>0</v>
      </c>
      <c r="AR158" s="142">
        <f>IF(AG158=0,0,1)</f>
        <v>0</v>
      </c>
      <c r="AS158" s="127">
        <f>IF(AND(AM158=1,AA158=0),0,1)</f>
        <v>1</v>
      </c>
      <c r="AT158" s="127">
        <f>IF(AND(AM158=1,AJ158=0),0,1)</f>
        <v>1</v>
      </c>
      <c r="AU158" s="137">
        <f>IF(AND(AN158=0,AQ158&gt;0),1,0)</f>
        <v>0</v>
      </c>
      <c r="AV158" s="137">
        <f>IF(AND(AO158=0,AR158&gt;0),1,0)</f>
        <v>0</v>
      </c>
      <c r="AW158" s="137">
        <f>IF(AND(AN158&gt;0,AQ158=0),1,0)</f>
        <v>0</v>
      </c>
      <c r="AX158" s="137">
        <f>IF(AND(AO158&gt;0,AR158=0),1,0)</f>
        <v>0</v>
      </c>
      <c r="AY158" s="4">
        <f>IF(AA158&lt;MAX(R158:W158),1,0)</f>
        <v>0</v>
      </c>
      <c r="BB158" s="4">
        <f>IF(AND(AM158=0,SUM(AN158:AR158)&gt;0),1,0)</f>
        <v>0</v>
      </c>
    </row>
    <row r="159" spans="1:54" s="4" customFormat="1" ht="11.25" x14ac:dyDescent="0.2">
      <c r="A159" s="173">
        <v>2</v>
      </c>
      <c r="B159" s="174" t="s">
        <v>324</v>
      </c>
      <c r="C159" s="174"/>
      <c r="D159" s="174"/>
      <c r="E159" s="174"/>
      <c r="F159" s="174"/>
      <c r="G159" s="174"/>
      <c r="H159" s="174"/>
      <c r="I159" s="174"/>
      <c r="J159" s="174"/>
      <c r="K159" s="174"/>
      <c r="L159" s="174"/>
      <c r="M159" s="174"/>
      <c r="N159" s="174"/>
      <c r="O159" s="174"/>
      <c r="P159" s="174"/>
      <c r="Q159" s="175"/>
      <c r="R159" s="353">
        <f>SUM(R160:T163)</f>
        <v>0</v>
      </c>
      <c r="S159" s="352"/>
      <c r="T159" s="352"/>
      <c r="U159" s="352">
        <f>SUM(U160:W163)</f>
        <v>0</v>
      </c>
      <c r="V159" s="352"/>
      <c r="W159" s="352"/>
      <c r="X159" s="355">
        <f>SUM(X160:Z163)</f>
        <v>0</v>
      </c>
      <c r="Y159" s="355"/>
      <c r="Z159" s="355"/>
      <c r="AA159" s="354">
        <f>SUM(R159:W159)-X159</f>
        <v>0</v>
      </c>
      <c r="AB159" s="354"/>
      <c r="AC159" s="354"/>
      <c r="AD159" s="336">
        <f>SUM(AD160:AF162)</f>
        <v>0</v>
      </c>
      <c r="AE159" s="336"/>
      <c r="AF159" s="336"/>
      <c r="AG159" s="336">
        <f>SUM(AG160:AI162)</f>
        <v>0</v>
      </c>
      <c r="AH159" s="336"/>
      <c r="AI159" s="336"/>
      <c r="AJ159" s="340">
        <f>SUM(AJ160:AL162)</f>
        <v>0</v>
      </c>
      <c r="AK159" s="340"/>
      <c r="AL159" s="340"/>
      <c r="AM159" s="143">
        <f>AQ27</f>
        <v>0</v>
      </c>
      <c r="AN159" s="142"/>
      <c r="AO159" s="142"/>
      <c r="AP159" s="142"/>
      <c r="AQ159" s="142"/>
      <c r="AR159" s="142"/>
      <c r="AS159" s="127">
        <f>IF(AND(AM159=1,AA159=0),0,1)</f>
        <v>1</v>
      </c>
      <c r="AT159" s="127">
        <f>IF(AND(AM159=1,AJ159=0),0,1)</f>
        <v>1</v>
      </c>
      <c r="AU159" s="137"/>
      <c r="AV159" s="137"/>
      <c r="AW159" s="137"/>
      <c r="AX159" s="137"/>
      <c r="AZ159" s="4">
        <f>IF(AND(AN163&gt;0,SUM(AQ160:AQ162)&lt;2),1,0)</f>
        <v>0</v>
      </c>
      <c r="BA159" s="4">
        <f>IF(AND(AO163&gt;0,SUM(AR160:AR162)&lt;2),1,0)</f>
        <v>0</v>
      </c>
    </row>
    <row r="160" spans="1:54" s="4" customFormat="1" ht="11.25" x14ac:dyDescent="0.2">
      <c r="A160" s="173"/>
      <c r="B160" s="188" t="s">
        <v>52</v>
      </c>
      <c r="C160" s="174" t="s">
        <v>95</v>
      </c>
      <c r="D160" s="174"/>
      <c r="E160" s="174"/>
      <c r="F160" s="174"/>
      <c r="G160" s="174"/>
      <c r="H160" s="174"/>
      <c r="I160" s="174"/>
      <c r="J160" s="174"/>
      <c r="K160" s="174"/>
      <c r="L160" s="174"/>
      <c r="M160" s="174"/>
      <c r="N160" s="174"/>
      <c r="O160" s="174"/>
      <c r="P160" s="174"/>
      <c r="Q160" s="175"/>
      <c r="R160" s="295">
        <v>0</v>
      </c>
      <c r="S160" s="314"/>
      <c r="T160" s="314"/>
      <c r="U160" s="314">
        <v>0</v>
      </c>
      <c r="V160" s="314"/>
      <c r="W160" s="314"/>
      <c r="X160" s="315">
        <v>0</v>
      </c>
      <c r="Y160" s="315"/>
      <c r="Z160" s="315"/>
      <c r="AA160" s="352">
        <f>SUM(R160+U160)-X160</f>
        <v>0</v>
      </c>
      <c r="AB160" s="352"/>
      <c r="AC160" s="352"/>
      <c r="AD160" s="324">
        <v>0</v>
      </c>
      <c r="AE160" s="324"/>
      <c r="AF160" s="324"/>
      <c r="AG160" s="324">
        <v>0</v>
      </c>
      <c r="AH160" s="324"/>
      <c r="AI160" s="324"/>
      <c r="AJ160" s="340">
        <f>SUM(AD160:AI160)</f>
        <v>0</v>
      </c>
      <c r="AK160" s="340"/>
      <c r="AL160" s="340"/>
      <c r="AM160" s="143"/>
      <c r="AN160" s="142">
        <f>IF(R160=0,0,1)</f>
        <v>0</v>
      </c>
      <c r="AO160" s="142">
        <f>IF(U160=0,0,1)</f>
        <v>0</v>
      </c>
      <c r="AP160" s="142">
        <f>IF(X160=0,0,1)</f>
        <v>0</v>
      </c>
      <c r="AQ160" s="142">
        <f>IF(AD160=0,0,1)</f>
        <v>0</v>
      </c>
      <c r="AR160" s="142">
        <f>IF(AG160=0,0,1)</f>
        <v>0</v>
      </c>
      <c r="AS160" s="127"/>
      <c r="AT160" s="127"/>
      <c r="AU160" s="137">
        <f>IF(AND(AND(AN163=0,AN160=0),AQ160&gt;0),1,0)</f>
        <v>0</v>
      </c>
      <c r="AV160" s="137">
        <f>IF(AND(AND(AO163=0,AO160=0),AR160&gt;0),1,0)</f>
        <v>0</v>
      </c>
      <c r="AW160" s="137">
        <f>IF(AND(AN160&gt;0,AQ160=0),1,IF(AND(AN163=1,SUM(AQ160:AQ162)&lt;2,AQ160=0),1,0))</f>
        <v>0</v>
      </c>
      <c r="AX160" s="137">
        <f>IF(AND(AO160&gt;0,AR160=0),1,IF(AND(AO163=1,SUM(AR160:AR162)&lt;2,AR160=0),1,0))</f>
        <v>0</v>
      </c>
      <c r="AY160" s="4">
        <f>IF(AA160&lt;MAX(R160:W160),1,0)</f>
        <v>0</v>
      </c>
      <c r="BB160" s="4">
        <f>IF(AND(AM159=0,SUM(AN160:AR160)&gt;0),1,0)</f>
        <v>0</v>
      </c>
    </row>
    <row r="161" spans="1:54" s="4" customFormat="1" ht="11.25" x14ac:dyDescent="0.2">
      <c r="A161" s="173"/>
      <c r="B161" s="188" t="s">
        <v>53</v>
      </c>
      <c r="C161" s="174" t="s">
        <v>94</v>
      </c>
      <c r="D161" s="174"/>
      <c r="E161" s="174"/>
      <c r="F161" s="174"/>
      <c r="G161" s="174"/>
      <c r="H161" s="174"/>
      <c r="I161" s="174"/>
      <c r="J161" s="174"/>
      <c r="K161" s="174"/>
      <c r="L161" s="174"/>
      <c r="M161" s="174"/>
      <c r="N161" s="174"/>
      <c r="O161" s="174"/>
      <c r="P161" s="174"/>
      <c r="Q161" s="175"/>
      <c r="R161" s="295">
        <v>0</v>
      </c>
      <c r="S161" s="314"/>
      <c r="T161" s="314"/>
      <c r="U161" s="314">
        <v>0</v>
      </c>
      <c r="V161" s="314"/>
      <c r="W161" s="314"/>
      <c r="X161" s="315">
        <v>0</v>
      </c>
      <c r="Y161" s="315"/>
      <c r="Z161" s="315"/>
      <c r="AA161" s="352">
        <f>SUM(R161+U161)-X161</f>
        <v>0</v>
      </c>
      <c r="AB161" s="352"/>
      <c r="AC161" s="352"/>
      <c r="AD161" s="324">
        <v>0</v>
      </c>
      <c r="AE161" s="324"/>
      <c r="AF161" s="324"/>
      <c r="AG161" s="324">
        <v>0</v>
      </c>
      <c r="AH161" s="324"/>
      <c r="AI161" s="324"/>
      <c r="AJ161" s="340">
        <f>SUM(AD161:AI161)</f>
        <v>0</v>
      </c>
      <c r="AK161" s="340"/>
      <c r="AL161" s="340"/>
      <c r="AM161" s="143"/>
      <c r="AN161" s="142">
        <f>IF(R161=0,0,1)</f>
        <v>0</v>
      </c>
      <c r="AO161" s="142">
        <f>IF(U161=0,0,1)</f>
        <v>0</v>
      </c>
      <c r="AP161" s="142">
        <f>IF(X161=0,0,1)</f>
        <v>0</v>
      </c>
      <c r="AQ161" s="142">
        <f>IF(AD161=0,0,1)</f>
        <v>0</v>
      </c>
      <c r="AR161" s="142">
        <f>IF(AG161=0,0,1)</f>
        <v>0</v>
      </c>
      <c r="AS161" s="127"/>
      <c r="AT161" s="127"/>
      <c r="AU161" s="137">
        <f>IF(AND(AND(AN163=0,AN161=0),AQ161&gt;0),1,0)</f>
        <v>0</v>
      </c>
      <c r="AV161" s="137">
        <f>IF(AND(AND(AO163=0,AO161=0),AR161&gt;0),1,0)</f>
        <v>0</v>
      </c>
      <c r="AW161" s="137">
        <f>IF(AND(AN161&gt;0,AQ161=0),1,IF(AND(AN163=1,SUM(AQ160:AQ162)&lt;2,AQ161=0),1,0))</f>
        <v>0</v>
      </c>
      <c r="AX161" s="137">
        <f>IF(AND(AO161&gt;0,AR161=0),1,IF(AND(AO163=1,SUM(AR160:AR162)&lt;2,AR161=0),1,0))</f>
        <v>0</v>
      </c>
      <c r="AY161" s="4">
        <f>IF(AA161&lt;MAX(R161:W161),1,0)</f>
        <v>0</v>
      </c>
      <c r="BB161" s="4">
        <f>IF(AND(AM159=0,SUM(AN161:AR161)&gt;0),1,0)</f>
        <v>0</v>
      </c>
    </row>
    <row r="162" spans="1:54" s="4" customFormat="1" ht="11.25" x14ac:dyDescent="0.2">
      <c r="A162" s="173"/>
      <c r="B162" s="188" t="s">
        <v>54</v>
      </c>
      <c r="C162" s="174" t="s">
        <v>96</v>
      </c>
      <c r="D162" s="174"/>
      <c r="E162" s="174"/>
      <c r="F162" s="174"/>
      <c r="G162" s="174"/>
      <c r="H162" s="174"/>
      <c r="I162" s="174"/>
      <c r="J162" s="174"/>
      <c r="K162" s="174"/>
      <c r="L162" s="174"/>
      <c r="M162" s="174"/>
      <c r="N162" s="174"/>
      <c r="O162" s="174"/>
      <c r="P162" s="174"/>
      <c r="Q162" s="175"/>
      <c r="R162" s="295">
        <v>0</v>
      </c>
      <c r="S162" s="314"/>
      <c r="T162" s="314"/>
      <c r="U162" s="314">
        <v>0</v>
      </c>
      <c r="V162" s="314"/>
      <c r="W162" s="314"/>
      <c r="X162" s="315">
        <v>0</v>
      </c>
      <c r="Y162" s="315"/>
      <c r="Z162" s="315"/>
      <c r="AA162" s="352">
        <f>SUM(R162+U162)-X162</f>
        <v>0</v>
      </c>
      <c r="AB162" s="352"/>
      <c r="AC162" s="352"/>
      <c r="AD162" s="324">
        <v>0</v>
      </c>
      <c r="AE162" s="324"/>
      <c r="AF162" s="324"/>
      <c r="AG162" s="324">
        <v>0</v>
      </c>
      <c r="AH162" s="324"/>
      <c r="AI162" s="324"/>
      <c r="AJ162" s="340">
        <f>SUM(AD162:AI162)</f>
        <v>0</v>
      </c>
      <c r="AK162" s="340"/>
      <c r="AL162" s="340"/>
      <c r="AM162" s="143"/>
      <c r="AN162" s="142">
        <f>IF(R162=0,0,1)</f>
        <v>0</v>
      </c>
      <c r="AO162" s="142">
        <f>IF(U162=0,0,1)</f>
        <v>0</v>
      </c>
      <c r="AP162" s="142">
        <f>IF(X162=0,0,1)</f>
        <v>0</v>
      </c>
      <c r="AQ162" s="142">
        <f>IF(AD162=0,0,1)</f>
        <v>0</v>
      </c>
      <c r="AR162" s="142">
        <f>IF(AG162=0,0,1)</f>
        <v>0</v>
      </c>
      <c r="AS162" s="127"/>
      <c r="AT162" s="127"/>
      <c r="AU162" s="137">
        <f>IF(AND(AND(AN163=0,AN162=0),AQ162&gt;0),1,0)</f>
        <v>0</v>
      </c>
      <c r="AV162" s="137">
        <f>IF(AND(AND(AO163=0,AO162=0),AR162&gt;0),1,0)</f>
        <v>0</v>
      </c>
      <c r="AW162" s="137">
        <f>IF(AND(AN162&gt;0,AQ162=0),1,IF(AND(AN163=1,SUM(AQ160:AQ162)&lt;2,AQ162=0),1,0))</f>
        <v>0</v>
      </c>
      <c r="AX162" s="137">
        <f>IF(AND(AO162&gt;0,AR162=0),1,IF(AND(AO163=1,SUM(AR160:AR162)&lt;2,AR162=0),1,0))</f>
        <v>0</v>
      </c>
      <c r="AY162" s="4">
        <f>IF(AA162&lt;MAX(R162:W162),1,0)</f>
        <v>0</v>
      </c>
      <c r="BB162" s="4">
        <f>IF(AND(AM159=0,SUM(AN162:AR162)&gt;0),1,0)</f>
        <v>0</v>
      </c>
    </row>
    <row r="163" spans="1:54" s="4" customFormat="1" ht="11.25" x14ac:dyDescent="0.2">
      <c r="A163" s="173"/>
      <c r="B163" s="188" t="s">
        <v>57</v>
      </c>
      <c r="C163" s="174" t="s">
        <v>169</v>
      </c>
      <c r="D163" s="174"/>
      <c r="E163" s="174"/>
      <c r="F163" s="174"/>
      <c r="G163" s="174"/>
      <c r="H163" s="174"/>
      <c r="I163" s="174"/>
      <c r="J163" s="174"/>
      <c r="K163" s="174"/>
      <c r="L163" s="174"/>
      <c r="M163" s="174"/>
      <c r="N163" s="174"/>
      <c r="O163" s="174"/>
      <c r="P163" s="174"/>
      <c r="Q163" s="175"/>
      <c r="R163" s="295">
        <v>0</v>
      </c>
      <c r="S163" s="314"/>
      <c r="T163" s="314"/>
      <c r="U163" s="314">
        <v>0</v>
      </c>
      <c r="V163" s="314"/>
      <c r="W163" s="314"/>
      <c r="X163" s="315">
        <v>0</v>
      </c>
      <c r="Y163" s="315"/>
      <c r="Z163" s="315"/>
      <c r="AA163" s="352">
        <f>SUM(R163+U163)-X163</f>
        <v>0</v>
      </c>
      <c r="AB163" s="352"/>
      <c r="AC163" s="352"/>
      <c r="AD163" s="356"/>
      <c r="AE163" s="356"/>
      <c r="AF163" s="356"/>
      <c r="AG163" s="356"/>
      <c r="AH163" s="356"/>
      <c r="AI163" s="356"/>
      <c r="AJ163" s="357"/>
      <c r="AK163" s="357"/>
      <c r="AL163" s="357"/>
      <c r="AM163" s="143"/>
      <c r="AN163" s="142">
        <f>IF(R163=0,0,1)</f>
        <v>0</v>
      </c>
      <c r="AO163" s="142">
        <f>IF(U163=0,0,1)</f>
        <v>0</v>
      </c>
      <c r="AP163" s="142">
        <f>IF(X163=0,0,1)</f>
        <v>0</v>
      </c>
      <c r="AQ163" s="142"/>
      <c r="AR163" s="142"/>
      <c r="AS163" s="127"/>
      <c r="AT163" s="127"/>
      <c r="AU163" s="137">
        <f>IF(AND(SUM(AN160:AN163)=0,SUM(AQ160:AQ162)&gt;0),1,0)</f>
        <v>0</v>
      </c>
      <c r="AV163" s="137">
        <f>IF(AND(SUM(AO160:AO163)=0,SUM(AR160:AR162)&gt;0),1,0)</f>
        <v>0</v>
      </c>
      <c r="AW163" s="137"/>
      <c r="AX163" s="137"/>
      <c r="AY163" s="4">
        <f>IF(AA163&lt;MAX(R163:W163),1,0)</f>
        <v>0</v>
      </c>
      <c r="BB163" s="4">
        <f>IF(AND(AM159=0,SUM(AN163:AR163)&gt;0),1,0)</f>
        <v>0</v>
      </c>
    </row>
    <row r="164" spans="1:54" s="4" customFormat="1" ht="11.25" x14ac:dyDescent="0.2">
      <c r="A164" s="173">
        <v>3</v>
      </c>
      <c r="B164" s="174" t="s">
        <v>325</v>
      </c>
      <c r="C164" s="174"/>
      <c r="D164" s="174"/>
      <c r="E164" s="174"/>
      <c r="F164" s="174"/>
      <c r="G164" s="174"/>
      <c r="H164" s="174"/>
      <c r="I164" s="174"/>
      <c r="J164" s="174"/>
      <c r="K164" s="174"/>
      <c r="L164" s="174"/>
      <c r="M164" s="174"/>
      <c r="N164" s="174"/>
      <c r="O164" s="174"/>
      <c r="P164" s="174"/>
      <c r="Q164" s="175"/>
      <c r="R164" s="353">
        <f>SUM(R165:T167)</f>
        <v>0</v>
      </c>
      <c r="S164" s="352"/>
      <c r="T164" s="352"/>
      <c r="U164" s="352">
        <f>SUM(U165:W167)</f>
        <v>0</v>
      </c>
      <c r="V164" s="352"/>
      <c r="W164" s="352"/>
      <c r="X164" s="355">
        <f>SUM(X165:Z167)</f>
        <v>0</v>
      </c>
      <c r="Y164" s="355"/>
      <c r="Z164" s="355"/>
      <c r="AA164" s="358">
        <f>SUM(R164:W164)-X164</f>
        <v>0</v>
      </c>
      <c r="AB164" s="358"/>
      <c r="AC164" s="358"/>
      <c r="AD164" s="336">
        <f>SUM(AD165:AF166)</f>
        <v>0</v>
      </c>
      <c r="AE164" s="336"/>
      <c r="AF164" s="336"/>
      <c r="AG164" s="336">
        <f>SUM(AG165:AI166)</f>
        <v>0</v>
      </c>
      <c r="AH164" s="336"/>
      <c r="AI164" s="336"/>
      <c r="AJ164" s="340">
        <f>SUM(AJ165:AL166)</f>
        <v>0</v>
      </c>
      <c r="AK164" s="340"/>
      <c r="AL164" s="340"/>
      <c r="AM164" s="143">
        <f>AQ28</f>
        <v>0</v>
      </c>
      <c r="AN164" s="142"/>
      <c r="AO164" s="142"/>
      <c r="AP164" s="142"/>
      <c r="AQ164" s="142"/>
      <c r="AR164" s="142"/>
      <c r="AS164" s="127">
        <f>IF(AND(AM164=1,AA164=0),0,1)</f>
        <v>1</v>
      </c>
      <c r="AT164" s="127">
        <f>IF(AND(AM164=1,AJ164=0),0,1)</f>
        <v>1</v>
      </c>
      <c r="AU164" s="137"/>
      <c r="AV164" s="137"/>
      <c r="AW164" s="137"/>
      <c r="AX164" s="137"/>
      <c r="AZ164" s="4">
        <f>IF(AND(AN167&gt;0,SUM(AQ165:AQ166)&lt;2),1,0)</f>
        <v>0</v>
      </c>
      <c r="BA164" s="4">
        <f>IF(AND(AO167&gt;0,SUM(AR165:AR166)&lt;2),1,0)</f>
        <v>0</v>
      </c>
    </row>
    <row r="165" spans="1:54" s="4" customFormat="1" ht="11.25" x14ac:dyDescent="0.2">
      <c r="A165" s="173"/>
      <c r="B165" s="188" t="s">
        <v>52</v>
      </c>
      <c r="C165" s="78" t="s">
        <v>538</v>
      </c>
      <c r="D165" s="174"/>
      <c r="E165" s="174"/>
      <c r="F165" s="174"/>
      <c r="G165" s="174"/>
      <c r="H165" s="174"/>
      <c r="I165" s="174"/>
      <c r="J165" s="174"/>
      <c r="K165" s="174"/>
      <c r="L165" s="174"/>
      <c r="M165" s="174"/>
      <c r="N165" s="174"/>
      <c r="O165" s="174"/>
      <c r="P165" s="174"/>
      <c r="Q165" s="175"/>
      <c r="R165" s="295">
        <v>0</v>
      </c>
      <c r="S165" s="314"/>
      <c r="T165" s="314"/>
      <c r="U165" s="314">
        <v>0</v>
      </c>
      <c r="V165" s="314"/>
      <c r="W165" s="314"/>
      <c r="X165" s="315">
        <v>0</v>
      </c>
      <c r="Y165" s="315"/>
      <c r="Z165" s="315"/>
      <c r="AA165" s="352">
        <f>SUM(R165+U165)-X165</f>
        <v>0</v>
      </c>
      <c r="AB165" s="352"/>
      <c r="AC165" s="352"/>
      <c r="AD165" s="324">
        <v>0</v>
      </c>
      <c r="AE165" s="324"/>
      <c r="AF165" s="324"/>
      <c r="AG165" s="324">
        <v>0</v>
      </c>
      <c r="AH165" s="324"/>
      <c r="AI165" s="324"/>
      <c r="AJ165" s="340">
        <f>SUM(AD165:AI165)</f>
        <v>0</v>
      </c>
      <c r="AK165" s="340"/>
      <c r="AL165" s="340"/>
      <c r="AM165" s="143"/>
      <c r="AN165" s="142">
        <f t="shared" ref="AN165:AN170" si="21">IF(R165=0,0,1)</f>
        <v>0</v>
      </c>
      <c r="AO165" s="142">
        <f t="shared" ref="AO165:AO170" si="22">IF(U165=0,0,1)</f>
        <v>0</v>
      </c>
      <c r="AP165" s="142">
        <f t="shared" ref="AP165:AP170" si="23">IF(X165=0,0,1)</f>
        <v>0</v>
      </c>
      <c r="AQ165" s="142">
        <f>IF(AD165=0,0,1)</f>
        <v>0</v>
      </c>
      <c r="AR165" s="142">
        <f>IF(AG165=0,0,1)</f>
        <v>0</v>
      </c>
      <c r="AS165" s="127"/>
      <c r="AT165" s="127"/>
      <c r="AU165" s="137">
        <f>IF(AND(AND(AN167=0,AN165=0),AQ165&gt;0),1,0)</f>
        <v>0</v>
      </c>
      <c r="AV165" s="137">
        <f>IF(AND(AND(AO167=0,AO165=0),AR165&gt;0),1,0)</f>
        <v>0</v>
      </c>
      <c r="AW165" s="137">
        <f>IF(AND(AN165&gt;0,AQ165=0),1,IF(AND(AN167=1,SUM(AQ165:AQ166)&lt;2,AQ165=0),1,0))</f>
        <v>0</v>
      </c>
      <c r="AX165" s="137">
        <f>IF(AND(AO165&gt;0,AR165=0),1,IF(AND(AO167=1,SUM(AR165:AR166)&lt;2,AR165=0),1,0))</f>
        <v>0</v>
      </c>
      <c r="AY165" s="4">
        <f t="shared" ref="AY165:AY170" si="24">IF(AA165&lt;MAX(R165:W165),1,0)</f>
        <v>0</v>
      </c>
      <c r="BB165" s="4">
        <f>IF(AND(AM164=0,SUM(AN165:AR165)&gt;0),1,0)</f>
        <v>0</v>
      </c>
    </row>
    <row r="166" spans="1:54" s="4" customFormat="1" ht="11.25" x14ac:dyDescent="0.2">
      <c r="A166" s="173"/>
      <c r="B166" s="188" t="s">
        <v>53</v>
      </c>
      <c r="C166" s="78" t="s">
        <v>539</v>
      </c>
      <c r="D166" s="174"/>
      <c r="E166" s="174"/>
      <c r="F166" s="174"/>
      <c r="G166" s="174"/>
      <c r="H166" s="174"/>
      <c r="I166" s="174"/>
      <c r="J166" s="174"/>
      <c r="K166" s="174"/>
      <c r="L166" s="174"/>
      <c r="M166" s="174"/>
      <c r="N166" s="174"/>
      <c r="O166" s="174"/>
      <c r="P166" s="174"/>
      <c r="Q166" s="175"/>
      <c r="R166" s="295">
        <v>0</v>
      </c>
      <c r="S166" s="314"/>
      <c r="T166" s="314"/>
      <c r="U166" s="314">
        <v>0</v>
      </c>
      <c r="V166" s="314"/>
      <c r="W166" s="314"/>
      <c r="X166" s="315">
        <v>0</v>
      </c>
      <c r="Y166" s="315"/>
      <c r="Z166" s="315"/>
      <c r="AA166" s="352">
        <f>SUM(R166+U166)-X166</f>
        <v>0</v>
      </c>
      <c r="AB166" s="352"/>
      <c r="AC166" s="352"/>
      <c r="AD166" s="324">
        <v>0</v>
      </c>
      <c r="AE166" s="324"/>
      <c r="AF166" s="324"/>
      <c r="AG166" s="324">
        <v>0</v>
      </c>
      <c r="AH166" s="324"/>
      <c r="AI166" s="324"/>
      <c r="AJ166" s="340">
        <f>SUM(AD166:AI166)</f>
        <v>0</v>
      </c>
      <c r="AK166" s="340"/>
      <c r="AL166" s="340"/>
      <c r="AM166" s="143"/>
      <c r="AN166" s="142">
        <f t="shared" si="21"/>
        <v>0</v>
      </c>
      <c r="AO166" s="142">
        <f t="shared" si="22"/>
        <v>0</v>
      </c>
      <c r="AP166" s="142">
        <f t="shared" si="23"/>
        <v>0</v>
      </c>
      <c r="AQ166" s="142">
        <f>IF(AD166=0,0,1)</f>
        <v>0</v>
      </c>
      <c r="AR166" s="142">
        <f>IF(AG166=0,0,1)</f>
        <v>0</v>
      </c>
      <c r="AS166" s="127"/>
      <c r="AT166" s="127"/>
      <c r="AU166" s="137">
        <f>IF(AND(AND(AN167=0,AN166=0),AQ166&gt;0),1,0)</f>
        <v>0</v>
      </c>
      <c r="AV166" s="137">
        <f>IF(AND(AND(AO167=0,AO166=0),AR166&gt;0),1,0)</f>
        <v>0</v>
      </c>
      <c r="AW166" s="137">
        <f>IF(AND(AN166&gt;0,AQ166=0),1,IF(AND(AN167=1,SUM(AQ165:AQ166)&lt;2,AQ166=0),1,0))</f>
        <v>0</v>
      </c>
      <c r="AX166" s="137">
        <f>IF(AND(AO166&gt;0,AR166=0),1,IF(AND(AO167=1,SUM(AR165:AR166)&lt;2,AR166=0),1,0))</f>
        <v>0</v>
      </c>
      <c r="AY166" s="4">
        <f t="shared" si="24"/>
        <v>0</v>
      </c>
      <c r="BB166" s="4">
        <f>IF(AND(AM164=0,SUM(AN166:AR166)&gt;0),1,0)</f>
        <v>0</v>
      </c>
    </row>
    <row r="167" spans="1:54" s="4" customFormat="1" ht="11.25" x14ac:dyDescent="0.2">
      <c r="A167" s="173"/>
      <c r="B167" s="188" t="s">
        <v>54</v>
      </c>
      <c r="C167" s="78" t="s">
        <v>169</v>
      </c>
      <c r="D167" s="174"/>
      <c r="E167" s="174"/>
      <c r="F167" s="174"/>
      <c r="G167" s="174"/>
      <c r="H167" s="174"/>
      <c r="I167" s="174"/>
      <c r="J167" s="174"/>
      <c r="K167" s="174"/>
      <c r="L167" s="174"/>
      <c r="M167" s="174"/>
      <c r="N167" s="174"/>
      <c r="O167" s="174"/>
      <c r="P167" s="174"/>
      <c r="Q167" s="175"/>
      <c r="R167" s="295">
        <v>0</v>
      </c>
      <c r="S167" s="314"/>
      <c r="T167" s="314"/>
      <c r="U167" s="314">
        <v>0</v>
      </c>
      <c r="V167" s="314"/>
      <c r="W167" s="314"/>
      <c r="X167" s="315">
        <v>0</v>
      </c>
      <c r="Y167" s="315"/>
      <c r="Z167" s="315"/>
      <c r="AA167" s="352">
        <f>SUM(R167+U167)-X167</f>
        <v>0</v>
      </c>
      <c r="AB167" s="352"/>
      <c r="AC167" s="352"/>
      <c r="AD167" s="356"/>
      <c r="AE167" s="356"/>
      <c r="AF167" s="356"/>
      <c r="AG167" s="356"/>
      <c r="AH167" s="356"/>
      <c r="AI167" s="356"/>
      <c r="AJ167" s="357"/>
      <c r="AK167" s="357"/>
      <c r="AL167" s="357"/>
      <c r="AM167" s="143"/>
      <c r="AN167" s="142">
        <f t="shared" si="21"/>
        <v>0</v>
      </c>
      <c r="AO167" s="142">
        <f t="shared" si="22"/>
        <v>0</v>
      </c>
      <c r="AP167" s="142">
        <f t="shared" si="23"/>
        <v>0</v>
      </c>
      <c r="AQ167" s="142"/>
      <c r="AR167" s="142"/>
      <c r="AS167" s="127"/>
      <c r="AT167" s="127"/>
      <c r="AU167" s="137">
        <f>IF(AND(SUM(AN165:AN167)=0,SUM(AQ165:AQ166)&gt;0),1,0)</f>
        <v>0</v>
      </c>
      <c r="AV167" s="137">
        <f>IF(AND(SUM(AO165:AO167)=0,SUM(AR165:AR166)&gt;0),1,0)</f>
        <v>0</v>
      </c>
      <c r="AW167" s="137"/>
      <c r="AX167" s="137"/>
      <c r="AY167" s="4">
        <f t="shared" si="24"/>
        <v>0</v>
      </c>
      <c r="BB167" s="4">
        <f>IF(AND(AM164=0,SUM(AN167:AR167)&gt;0),1,0)</f>
        <v>0</v>
      </c>
    </row>
    <row r="168" spans="1:54" s="4" customFormat="1" ht="11.25" x14ac:dyDescent="0.2">
      <c r="A168" s="173">
        <v>4</v>
      </c>
      <c r="B168" s="174" t="s">
        <v>326</v>
      </c>
      <c r="C168" s="174"/>
      <c r="D168" s="174"/>
      <c r="E168" s="174"/>
      <c r="F168" s="174"/>
      <c r="G168" s="174"/>
      <c r="H168" s="174"/>
      <c r="I168" s="174"/>
      <c r="J168" s="174"/>
      <c r="K168" s="174"/>
      <c r="L168" s="174"/>
      <c r="M168" s="174"/>
      <c r="N168" s="174"/>
      <c r="O168" s="174"/>
      <c r="P168" s="174"/>
      <c r="Q168" s="175"/>
      <c r="R168" s="317">
        <v>0</v>
      </c>
      <c r="S168" s="315"/>
      <c r="T168" s="315"/>
      <c r="U168" s="315">
        <v>0</v>
      </c>
      <c r="V168" s="315"/>
      <c r="W168" s="315"/>
      <c r="X168" s="315">
        <v>0</v>
      </c>
      <c r="Y168" s="315"/>
      <c r="Z168" s="315"/>
      <c r="AA168" s="316">
        <f>SUM(R168:W168)-X168</f>
        <v>0</v>
      </c>
      <c r="AB168" s="316"/>
      <c r="AC168" s="316"/>
      <c r="AD168" s="324">
        <v>0</v>
      </c>
      <c r="AE168" s="324"/>
      <c r="AF168" s="324"/>
      <c r="AG168" s="324">
        <v>0</v>
      </c>
      <c r="AH168" s="324"/>
      <c r="AI168" s="324"/>
      <c r="AJ168" s="336">
        <f>SUM(AD168:AI168)</f>
        <v>0</v>
      </c>
      <c r="AK168" s="336"/>
      <c r="AL168" s="336"/>
      <c r="AM168" s="143">
        <f>AQ29</f>
        <v>0</v>
      </c>
      <c r="AN168" s="142">
        <f t="shared" si="21"/>
        <v>0</v>
      </c>
      <c r="AO168" s="142">
        <f t="shared" si="22"/>
        <v>0</v>
      </c>
      <c r="AP168" s="142">
        <f t="shared" si="23"/>
        <v>0</v>
      </c>
      <c r="AQ168" s="142">
        <f>IF(AD168=0,0,1)</f>
        <v>0</v>
      </c>
      <c r="AR168" s="142">
        <f>IF(AG168=0,0,1)</f>
        <v>0</v>
      </c>
      <c r="AS168" s="127">
        <f>IF(AND(AM168=1,AA168=0),0,1)</f>
        <v>1</v>
      </c>
      <c r="AT168" s="127">
        <f>IF(AND(AM168=1,AJ168=0),0,1)</f>
        <v>1</v>
      </c>
      <c r="AU168" s="137">
        <f t="shared" ref="AU168:AV170" si="25">IF(AND(AN168=0,AQ168&gt;0),1,0)</f>
        <v>0</v>
      </c>
      <c r="AV168" s="137">
        <f t="shared" si="25"/>
        <v>0</v>
      </c>
      <c r="AW168" s="137">
        <f t="shared" ref="AW168:AX170" si="26">IF(AND(AN168&gt;0,AQ168=0),1,0)</f>
        <v>0</v>
      </c>
      <c r="AX168" s="137">
        <f t="shared" si="26"/>
        <v>0</v>
      </c>
      <c r="AY168" s="4">
        <f t="shared" si="24"/>
        <v>0</v>
      </c>
      <c r="BB168" s="4">
        <f>IF(AND(AM168=0,SUM(AN168:AR168)&gt;0),1,0)</f>
        <v>0</v>
      </c>
    </row>
    <row r="169" spans="1:54" s="4" customFormat="1" ht="11.25" x14ac:dyDescent="0.2">
      <c r="A169" s="173">
        <v>5</v>
      </c>
      <c r="B169" s="174" t="s">
        <v>327</v>
      </c>
      <c r="C169" s="174"/>
      <c r="D169" s="174"/>
      <c r="E169" s="174"/>
      <c r="F169" s="174"/>
      <c r="G169" s="174"/>
      <c r="H169" s="174"/>
      <c r="I169" s="174"/>
      <c r="J169" s="174"/>
      <c r="K169" s="174"/>
      <c r="L169" s="174"/>
      <c r="M169" s="174"/>
      <c r="N169" s="174"/>
      <c r="O169" s="174"/>
      <c r="P169" s="174"/>
      <c r="Q169" s="175"/>
      <c r="R169" s="317">
        <v>0</v>
      </c>
      <c r="S169" s="315"/>
      <c r="T169" s="315"/>
      <c r="U169" s="315">
        <v>0</v>
      </c>
      <c r="V169" s="315"/>
      <c r="W169" s="315"/>
      <c r="X169" s="315">
        <v>0</v>
      </c>
      <c r="Y169" s="315"/>
      <c r="Z169" s="315"/>
      <c r="AA169" s="318">
        <f>SUM(R169:W169)-X169</f>
        <v>0</v>
      </c>
      <c r="AB169" s="318"/>
      <c r="AC169" s="318"/>
      <c r="AD169" s="324">
        <v>0</v>
      </c>
      <c r="AE169" s="324"/>
      <c r="AF169" s="324"/>
      <c r="AG169" s="324">
        <v>0</v>
      </c>
      <c r="AH169" s="324"/>
      <c r="AI169" s="324"/>
      <c r="AJ169" s="336">
        <f>SUM(AD169:AI169)</f>
        <v>0</v>
      </c>
      <c r="AK169" s="336"/>
      <c r="AL169" s="336"/>
      <c r="AM169" s="143">
        <f>AQ30</f>
        <v>0</v>
      </c>
      <c r="AN169" s="142">
        <f t="shared" si="21"/>
        <v>0</v>
      </c>
      <c r="AO169" s="142">
        <f t="shared" si="22"/>
        <v>0</v>
      </c>
      <c r="AP169" s="142">
        <f t="shared" si="23"/>
        <v>0</v>
      </c>
      <c r="AQ169" s="142">
        <f>IF(AD169=0,0,1)</f>
        <v>0</v>
      </c>
      <c r="AR169" s="142">
        <f>IF(AG169=0,0,1)</f>
        <v>0</v>
      </c>
      <c r="AS169" s="127">
        <f>IF(AND(AM169=1,AA169=0),0,1)</f>
        <v>1</v>
      </c>
      <c r="AT169" s="127">
        <f>IF(AND(AM169=1,AJ169=0),0,1)</f>
        <v>1</v>
      </c>
      <c r="AU169" s="137">
        <f t="shared" si="25"/>
        <v>0</v>
      </c>
      <c r="AV169" s="137">
        <f t="shared" si="25"/>
        <v>0</v>
      </c>
      <c r="AW169" s="137">
        <f t="shared" si="26"/>
        <v>0</v>
      </c>
      <c r="AX169" s="137">
        <f t="shared" si="26"/>
        <v>0</v>
      </c>
      <c r="AY169" s="4">
        <f t="shared" si="24"/>
        <v>0</v>
      </c>
      <c r="BB169" s="4">
        <f>IF(AND(AM169=0,SUM(AN169:AR169)&gt;0),1,0)</f>
        <v>0</v>
      </c>
    </row>
    <row r="170" spans="1:54" s="4" customFormat="1" ht="11.25" x14ac:dyDescent="0.2">
      <c r="A170" s="173">
        <v>6</v>
      </c>
      <c r="B170" s="174" t="s">
        <v>328</v>
      </c>
      <c r="C170" s="174"/>
      <c r="D170" s="174"/>
      <c r="E170" s="174"/>
      <c r="F170" s="174"/>
      <c r="G170" s="174"/>
      <c r="H170" s="174"/>
      <c r="I170" s="174"/>
      <c r="J170" s="174"/>
      <c r="K170" s="174"/>
      <c r="L170" s="174"/>
      <c r="M170" s="174"/>
      <c r="N170" s="174"/>
      <c r="O170" s="174"/>
      <c r="P170" s="174"/>
      <c r="Q170" s="175"/>
      <c r="R170" s="317">
        <v>0</v>
      </c>
      <c r="S170" s="315"/>
      <c r="T170" s="315"/>
      <c r="U170" s="315">
        <v>0</v>
      </c>
      <c r="V170" s="315"/>
      <c r="W170" s="315"/>
      <c r="X170" s="315">
        <v>0</v>
      </c>
      <c r="Y170" s="315"/>
      <c r="Z170" s="315"/>
      <c r="AA170" s="359">
        <f>SUM(R170:W170)-X170</f>
        <v>0</v>
      </c>
      <c r="AB170" s="359"/>
      <c r="AC170" s="359"/>
      <c r="AD170" s="324">
        <v>0</v>
      </c>
      <c r="AE170" s="324"/>
      <c r="AF170" s="324"/>
      <c r="AG170" s="324">
        <v>0</v>
      </c>
      <c r="AH170" s="324"/>
      <c r="AI170" s="324"/>
      <c r="AJ170" s="336">
        <f>SUM(AD170:AI170)</f>
        <v>0</v>
      </c>
      <c r="AK170" s="336"/>
      <c r="AL170" s="336"/>
      <c r="AM170" s="143">
        <f>AQ31</f>
        <v>0</v>
      </c>
      <c r="AN170" s="142">
        <f t="shared" si="21"/>
        <v>0</v>
      </c>
      <c r="AO170" s="142">
        <f t="shared" si="22"/>
        <v>0</v>
      </c>
      <c r="AP170" s="142">
        <f t="shared" si="23"/>
        <v>0</v>
      </c>
      <c r="AQ170" s="142">
        <f>IF(AD170=0,0,1)</f>
        <v>0</v>
      </c>
      <c r="AR170" s="142">
        <f>IF(AG170=0,0,1)</f>
        <v>0</v>
      </c>
      <c r="AS170" s="127">
        <f>IF(AND(AM170=1,AA170=0),0,1)</f>
        <v>1</v>
      </c>
      <c r="AT170" s="127">
        <f>IF(AND(AM170=1,AJ170=0),0,1)</f>
        <v>1</v>
      </c>
      <c r="AU170" s="137">
        <f t="shared" si="25"/>
        <v>0</v>
      </c>
      <c r="AV170" s="137">
        <f t="shared" si="25"/>
        <v>0</v>
      </c>
      <c r="AW170" s="137">
        <f t="shared" si="26"/>
        <v>0</v>
      </c>
      <c r="AX170" s="137">
        <f t="shared" si="26"/>
        <v>0</v>
      </c>
      <c r="AY170" s="4">
        <f t="shared" si="24"/>
        <v>0</v>
      </c>
      <c r="BB170" s="4">
        <f>IF(AND(AM170=0,SUM(AN170:AR170)&gt;0),1,0)</f>
        <v>0</v>
      </c>
    </row>
    <row r="171" spans="1:54" s="4" customFormat="1" ht="11.25" x14ac:dyDescent="0.2">
      <c r="A171" s="173">
        <v>7</v>
      </c>
      <c r="B171" s="174" t="s">
        <v>329</v>
      </c>
      <c r="C171" s="174"/>
      <c r="D171" s="174"/>
      <c r="E171" s="174"/>
      <c r="F171" s="174"/>
      <c r="G171" s="174"/>
      <c r="H171" s="174"/>
      <c r="I171" s="174"/>
      <c r="J171" s="174"/>
      <c r="K171" s="174"/>
      <c r="L171" s="174"/>
      <c r="M171" s="174"/>
      <c r="N171" s="174"/>
      <c r="O171" s="174"/>
      <c r="P171" s="174"/>
      <c r="Q171" s="175"/>
      <c r="R171" s="322"/>
      <c r="S171" s="323"/>
      <c r="T171" s="323"/>
      <c r="U171" s="323"/>
      <c r="V171" s="323"/>
      <c r="W171" s="323"/>
      <c r="X171" s="323"/>
      <c r="Y171" s="323"/>
      <c r="Z171" s="323"/>
      <c r="AA171" s="323"/>
      <c r="AB171" s="323"/>
      <c r="AC171" s="323"/>
      <c r="AD171" s="324">
        <v>0</v>
      </c>
      <c r="AE171" s="324"/>
      <c r="AF171" s="324"/>
      <c r="AG171" s="324">
        <v>0</v>
      </c>
      <c r="AH171" s="324"/>
      <c r="AI171" s="324"/>
      <c r="AJ171" s="336">
        <f>SUM(AD171:AI171)</f>
        <v>0</v>
      </c>
      <c r="AK171" s="336"/>
      <c r="AL171" s="336"/>
      <c r="AM171" s="143">
        <f>AQ32</f>
        <v>0</v>
      </c>
      <c r="AN171" s="142"/>
      <c r="AO171" s="142"/>
      <c r="AP171" s="142"/>
      <c r="AQ171" s="142">
        <f>IF(AD171=0,0,1)</f>
        <v>0</v>
      </c>
      <c r="AR171" s="142">
        <f>IF(AG171=0,0,1)</f>
        <v>0</v>
      </c>
      <c r="AS171" s="127"/>
      <c r="AT171" s="127">
        <f>IF(AND(AM171=1,AJ171=0),0,1)</f>
        <v>1</v>
      </c>
      <c r="AU171" s="137"/>
      <c r="AV171" s="137"/>
      <c r="AW171" s="137"/>
      <c r="AX171" s="137"/>
      <c r="BB171" s="4">
        <f>IF(AND(AM171=0,SUM(AN171:AR171)&gt;0),1,0)</f>
        <v>0</v>
      </c>
    </row>
    <row r="172" spans="1:54" s="4" customFormat="1" ht="11.25" x14ac:dyDescent="0.2">
      <c r="A172" s="32">
        <v>8</v>
      </c>
      <c r="B172" s="57" t="s">
        <v>190</v>
      </c>
      <c r="C172" s="57"/>
      <c r="D172" s="57"/>
      <c r="E172" s="57"/>
      <c r="F172" s="57"/>
      <c r="G172" s="57"/>
      <c r="H172" s="57"/>
      <c r="I172" s="57"/>
      <c r="J172" s="57"/>
      <c r="K172" s="57"/>
      <c r="L172" s="57"/>
      <c r="M172" s="57"/>
      <c r="N172" s="57"/>
      <c r="O172" s="57"/>
      <c r="P172" s="57"/>
      <c r="Q172" s="58"/>
      <c r="R172" s="322"/>
      <c r="S172" s="323"/>
      <c r="T172" s="323"/>
      <c r="U172" s="323"/>
      <c r="V172" s="323"/>
      <c r="W172" s="323"/>
      <c r="X172" s="323"/>
      <c r="Y172" s="323"/>
      <c r="Z172" s="323"/>
      <c r="AA172" s="323"/>
      <c r="AB172" s="323"/>
      <c r="AC172" s="323"/>
      <c r="AD172" s="324">
        <v>0</v>
      </c>
      <c r="AE172" s="324"/>
      <c r="AF172" s="324"/>
      <c r="AG172" s="324">
        <v>0</v>
      </c>
      <c r="AH172" s="324"/>
      <c r="AI172" s="324"/>
      <c r="AJ172" s="336">
        <f>SUM(AD172:AI172)</f>
        <v>0</v>
      </c>
      <c r="AK172" s="336"/>
      <c r="AL172" s="336"/>
      <c r="AM172" s="143">
        <f>AQ33</f>
        <v>0</v>
      </c>
      <c r="AN172" s="142"/>
      <c r="AO172" s="142"/>
      <c r="AP172" s="142"/>
      <c r="AQ172" s="142">
        <f>IF(AD172=0,0,1)</f>
        <v>0</v>
      </c>
      <c r="AR172" s="142">
        <f>IF(AG172=0,0,1)</f>
        <v>0</v>
      </c>
      <c r="AS172" s="127"/>
      <c r="AT172" s="127">
        <f>IF(AND(AM172=1,AJ172=0),0,1)</f>
        <v>1</v>
      </c>
      <c r="AU172" s="137"/>
      <c r="AV172" s="137"/>
      <c r="AW172" s="137"/>
      <c r="AX172" s="137"/>
      <c r="BB172" s="4">
        <f>IF(AND(AM172=0,SUM(AN172:AR172)&gt;0),1,0)</f>
        <v>0</v>
      </c>
    </row>
    <row r="173" spans="1:54" s="4" customFormat="1" ht="11.25" x14ac:dyDescent="0.2">
      <c r="A173" s="147"/>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9"/>
      <c r="AQ173" s="10"/>
    </row>
    <row r="174" spans="1:54" ht="12.75" x14ac:dyDescent="0.2">
      <c r="A174" s="73" t="s">
        <v>380</v>
      </c>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92"/>
      <c r="AH174" s="192"/>
      <c r="AI174" s="192"/>
      <c r="AJ174" s="192"/>
      <c r="AK174" s="192"/>
      <c r="AL174" s="192"/>
      <c r="AY174" s="4" t="s">
        <v>528</v>
      </c>
      <c r="AZ174" s="4" t="s">
        <v>529</v>
      </c>
    </row>
    <row r="175" spans="1:54" s="4" customFormat="1" ht="11.25" x14ac:dyDescent="0.2">
      <c r="A175" s="56" t="s">
        <v>170</v>
      </c>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80" t="s">
        <v>171</v>
      </c>
      <c r="AH175" s="80"/>
      <c r="AI175" s="80"/>
      <c r="AJ175" s="80"/>
      <c r="AK175" s="80"/>
      <c r="AL175" s="81"/>
      <c r="AR175" s="53" t="s">
        <v>366</v>
      </c>
      <c r="AS175" s="53" t="s">
        <v>350</v>
      </c>
      <c r="AT175" s="53" t="s">
        <v>373</v>
      </c>
      <c r="AU175" s="53" t="s">
        <v>374</v>
      </c>
      <c r="AX175" s="53">
        <v>1</v>
      </c>
      <c r="AY175" s="4">
        <f>IF(AND($AQ$24=1,$AM$158=1,SUM($AO$158:$AO$172)=0),1,0)</f>
        <v>0</v>
      </c>
      <c r="AZ175" s="4">
        <f>IF(AND($AQ$24=1,$AM$158=1,SUM($AR$158:$AR$172)=0),1,0)</f>
        <v>0</v>
      </c>
    </row>
    <row r="176" spans="1:54" s="4" customFormat="1" ht="11.25" x14ac:dyDescent="0.2">
      <c r="A176" s="79" t="s">
        <v>193</v>
      </c>
      <c r="B176" s="3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4"/>
      <c r="AM176" s="143">
        <f>IF(AJ28="Yes",1,0)</f>
        <v>0</v>
      </c>
      <c r="AR176" s="4">
        <f>IF(AG181=0,0,1)</f>
        <v>0</v>
      </c>
      <c r="AS176" s="4">
        <f>IF(AND(AM176=1,AG181=0),0,1)</f>
        <v>1</v>
      </c>
      <c r="AT176" s="4">
        <f>IF(AND(AM176=0,AR176=1),1,0)</f>
        <v>0</v>
      </c>
      <c r="AU176" s="4">
        <f>IF(AG182&lt;MAX(AG177:AL180),1,0)</f>
        <v>0</v>
      </c>
      <c r="AX176" s="53"/>
    </row>
    <row r="177" spans="1:52" s="4" customFormat="1" ht="11.25" x14ac:dyDescent="0.2">
      <c r="A177" s="36">
        <v>1</v>
      </c>
      <c r="B177" s="59" t="s">
        <v>15</v>
      </c>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325">
        <f>AA158</f>
        <v>0</v>
      </c>
      <c r="AH177" s="325"/>
      <c r="AI177" s="325"/>
      <c r="AJ177" s="325"/>
      <c r="AK177" s="325"/>
      <c r="AL177" s="325"/>
      <c r="AM177" s="143">
        <f>IF(AJ29="Yes",1,0)</f>
        <v>0</v>
      </c>
      <c r="AR177" s="4">
        <f>IF(AG187=0,0,1)</f>
        <v>0</v>
      </c>
      <c r="AS177" s="4">
        <f>IF(AND(AM177=1,AG187=0),0,1)</f>
        <v>1</v>
      </c>
      <c r="AT177" s="4">
        <f>IF(AND(AM177=0,AR177=1),1,0)</f>
        <v>0</v>
      </c>
      <c r="AU177" s="4">
        <f>IF(AG188&lt;MAX(AG184:AL186),1,0)</f>
        <v>0</v>
      </c>
      <c r="AX177" s="53" t="s">
        <v>52</v>
      </c>
      <c r="AY177" s="4">
        <f>IF(AND($AQ$24=1,$AM$159=1,SUM($AO$158:$AO$172)=0),1,0)</f>
        <v>0</v>
      </c>
      <c r="AZ177" s="4">
        <f>IF(AND($AQ$24=1,$AM$159=1,SUM($AR$158:$AR$172)=0),1,0)</f>
        <v>0</v>
      </c>
    </row>
    <row r="178" spans="1:52" s="4" customFormat="1" ht="11.25" x14ac:dyDescent="0.2">
      <c r="A178" s="173">
        <v>2</v>
      </c>
      <c r="B178" s="174" t="s">
        <v>16</v>
      </c>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354">
        <f>AA159</f>
        <v>0</v>
      </c>
      <c r="AH178" s="354"/>
      <c r="AI178" s="354"/>
      <c r="AJ178" s="354"/>
      <c r="AK178" s="354"/>
      <c r="AL178" s="354"/>
      <c r="AM178" s="143">
        <f>IF(AJ30="Yes",1,0)</f>
        <v>0</v>
      </c>
      <c r="AR178" s="4">
        <f>IF(AG196=0,0,1)</f>
        <v>0</v>
      </c>
      <c r="AS178" s="4">
        <f>IF(AND(AM178=1,AG196=0),0,1)</f>
        <v>1</v>
      </c>
      <c r="AT178" s="4">
        <f>IF(AND(AM178=0,AR178=1),1,0)</f>
        <v>0</v>
      </c>
      <c r="AU178" s="4">
        <f>IF(AG197&lt;MAX(AG190:AL195),1,0)</f>
        <v>0</v>
      </c>
      <c r="AX178" s="53" t="s">
        <v>53</v>
      </c>
      <c r="AY178" s="4">
        <f t="shared" ref="AY178:AY180" si="27">IF(AND($AQ$24=1,$AM$159=1,SUM($AO$158:$AO$172)=0),1,0)</f>
        <v>0</v>
      </c>
      <c r="AZ178" s="4">
        <f t="shared" ref="AZ178:AZ179" si="28">IF(AND($AQ$24=1,$AM$159=1,SUM($AR$158:$AR$172)=0),1,0)</f>
        <v>0</v>
      </c>
    </row>
    <row r="179" spans="1:52" s="4" customFormat="1" ht="11.25" x14ac:dyDescent="0.2">
      <c r="A179" s="173">
        <v>3</v>
      </c>
      <c r="B179" s="174" t="s">
        <v>140</v>
      </c>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358">
        <f>AA164</f>
        <v>0</v>
      </c>
      <c r="AH179" s="358"/>
      <c r="AI179" s="358"/>
      <c r="AJ179" s="358"/>
      <c r="AK179" s="358"/>
      <c r="AL179" s="358"/>
      <c r="AX179" s="53" t="s">
        <v>54</v>
      </c>
      <c r="AY179" s="4">
        <f t="shared" si="27"/>
        <v>0</v>
      </c>
      <c r="AZ179" s="4">
        <f t="shared" si="28"/>
        <v>0</v>
      </c>
    </row>
    <row r="180" spans="1:52" s="4" customFormat="1" ht="11.25" x14ac:dyDescent="0.2">
      <c r="A180" s="173">
        <v>4</v>
      </c>
      <c r="B180" s="174" t="s">
        <v>17</v>
      </c>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360">
        <f>AA168</f>
        <v>0</v>
      </c>
      <c r="AH180" s="360"/>
      <c r="AI180" s="360"/>
      <c r="AJ180" s="360"/>
      <c r="AK180" s="360"/>
      <c r="AL180" s="360"/>
      <c r="AX180" s="53" t="s">
        <v>57</v>
      </c>
      <c r="AY180" s="4">
        <f t="shared" si="27"/>
        <v>0</v>
      </c>
    </row>
    <row r="181" spans="1:52" s="4" customFormat="1" ht="11.25" x14ac:dyDescent="0.2">
      <c r="A181" s="173">
        <v>5</v>
      </c>
      <c r="B181" s="174" t="s">
        <v>194</v>
      </c>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314">
        <v>0</v>
      </c>
      <c r="AH181" s="314"/>
      <c r="AI181" s="314"/>
      <c r="AJ181" s="314"/>
      <c r="AK181" s="314"/>
      <c r="AL181" s="314"/>
      <c r="AX181" s="53"/>
    </row>
    <row r="182" spans="1:52" s="4" customFormat="1" ht="11.25" x14ac:dyDescent="0.2">
      <c r="A182" s="182">
        <v>6</v>
      </c>
      <c r="B182" s="183" t="s">
        <v>152</v>
      </c>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368">
        <f>SUM(AG177:AL180)-AG181</f>
        <v>0</v>
      </c>
      <c r="AH182" s="368"/>
      <c r="AI182" s="368"/>
      <c r="AJ182" s="368"/>
      <c r="AK182" s="368"/>
      <c r="AL182" s="368"/>
      <c r="AN182" s="10"/>
      <c r="AO182" s="10"/>
      <c r="AP182" s="10"/>
      <c r="AV182" s="10"/>
      <c r="AX182" s="53" t="s">
        <v>52</v>
      </c>
      <c r="AY182" s="4">
        <f>IF(AND($AQ$24=1,$AM$164=1,SUM($AO$158:$AO$172)=0),1,0)</f>
        <v>0</v>
      </c>
      <c r="AZ182" s="4">
        <f>IF(AND($AQ$24=1,$AM$164=1,SUM($AR$158:$AR$172)=0),1,0)</f>
        <v>0</v>
      </c>
    </row>
    <row r="183" spans="1:52" s="4" customFormat="1" ht="11.25" x14ac:dyDescent="0.2">
      <c r="A183" s="39" t="s">
        <v>390</v>
      </c>
      <c r="B183" s="21"/>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30"/>
      <c r="AN183" s="10"/>
      <c r="AO183" s="10"/>
      <c r="AP183" s="10"/>
      <c r="AV183" s="10"/>
      <c r="AX183" s="53" t="s">
        <v>53</v>
      </c>
      <c r="AY183" s="4">
        <f t="shared" ref="AY183:AY184" si="29">IF(AND($AQ$24=1,$AM$164=1,SUM($AO$158:$AO$172)=0),1,0)</f>
        <v>0</v>
      </c>
      <c r="AZ183" s="4">
        <f t="shared" ref="AZ183" si="30">IF(AND($AQ$24=1,$AM$164=1,SUM($AR$158:$AR$172)=0),1,0)</f>
        <v>0</v>
      </c>
    </row>
    <row r="184" spans="1:52" s="4" customFormat="1" ht="11.25" x14ac:dyDescent="0.2">
      <c r="A184" s="173">
        <v>7</v>
      </c>
      <c r="B184" s="174" t="s">
        <v>15</v>
      </c>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325">
        <f>AA158</f>
        <v>0</v>
      </c>
      <c r="AH184" s="325"/>
      <c r="AI184" s="325"/>
      <c r="AJ184" s="325"/>
      <c r="AK184" s="325"/>
      <c r="AL184" s="325"/>
      <c r="AN184" s="10"/>
      <c r="AO184" s="10"/>
      <c r="AP184" s="10"/>
      <c r="AV184" s="10"/>
      <c r="AX184" s="53" t="s">
        <v>54</v>
      </c>
      <c r="AY184" s="4">
        <f t="shared" si="29"/>
        <v>0</v>
      </c>
    </row>
    <row r="185" spans="1:52" s="4" customFormat="1" ht="11.25" x14ac:dyDescent="0.2">
      <c r="A185" s="173">
        <v>8</v>
      </c>
      <c r="B185" s="174" t="s">
        <v>140</v>
      </c>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358">
        <f>AA164</f>
        <v>0</v>
      </c>
      <c r="AH185" s="358"/>
      <c r="AI185" s="358"/>
      <c r="AJ185" s="358"/>
      <c r="AK185" s="358"/>
      <c r="AL185" s="358"/>
      <c r="AN185" s="10"/>
      <c r="AO185" s="10"/>
      <c r="AP185" s="10" t="s">
        <v>362</v>
      </c>
      <c r="AV185" s="10"/>
      <c r="AX185" s="53">
        <v>4</v>
      </c>
      <c r="AY185" s="4">
        <f>IF(AND($AQ$24=1,$AM$168=1,SUM($AO$158:$AO$172)=0),1,0)</f>
        <v>0</v>
      </c>
      <c r="AZ185" s="4">
        <f>IF(AND($AQ$24=1,$AM$168=1,SUM($AR$158:$AR$172)=0),1,0)</f>
        <v>0</v>
      </c>
    </row>
    <row r="186" spans="1:52" s="4" customFormat="1" ht="11.25" x14ac:dyDescent="0.2">
      <c r="A186" s="173">
        <v>9</v>
      </c>
      <c r="B186" s="174" t="s">
        <v>17</v>
      </c>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360">
        <f>AA168</f>
        <v>0</v>
      </c>
      <c r="AH186" s="360"/>
      <c r="AI186" s="360"/>
      <c r="AJ186" s="360"/>
      <c r="AK186" s="360"/>
      <c r="AL186" s="360"/>
      <c r="AN186" s="10"/>
      <c r="AO186" s="10"/>
      <c r="AP186" s="10" t="s">
        <v>504</v>
      </c>
      <c r="AX186" s="53">
        <v>5</v>
      </c>
      <c r="AY186" s="4">
        <f>IF(AND($AQ$24=1,$AM$169=1,SUM($AO$158:$AO$172)=0),1,0)</f>
        <v>0</v>
      </c>
      <c r="AZ186" s="4">
        <f>IF(AND($AQ$24=1,$AM$169=1,SUM($AR$158:$AR$172)=0),1,0)</f>
        <v>0</v>
      </c>
    </row>
    <row r="187" spans="1:52" s="4" customFormat="1" ht="11.25" x14ac:dyDescent="0.2">
      <c r="A187" s="173">
        <v>10</v>
      </c>
      <c r="B187" s="174" t="s">
        <v>389</v>
      </c>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314">
        <v>0</v>
      </c>
      <c r="AH187" s="314"/>
      <c r="AI187" s="314"/>
      <c r="AJ187" s="314"/>
      <c r="AK187" s="314"/>
      <c r="AL187" s="314"/>
      <c r="AP187" s="4">
        <f>IF(AG187&gt;AG181,1,0)</f>
        <v>0</v>
      </c>
      <c r="AX187" s="53">
        <v>6</v>
      </c>
      <c r="AY187" s="4">
        <f>IF(AND($AQ$24=1,$AM$170=1,SUM($AO$158:$AO$172)=0),1,0)</f>
        <v>0</v>
      </c>
      <c r="AZ187" s="4">
        <f>IF(AND($AQ$24=1,$AM$170=1,SUM($AR$158:$AR$172)=0),1,0)</f>
        <v>0</v>
      </c>
    </row>
    <row r="188" spans="1:52" s="4" customFormat="1" ht="11.25" x14ac:dyDescent="0.2">
      <c r="A188" s="182">
        <v>11</v>
      </c>
      <c r="B188" s="183" t="s">
        <v>177</v>
      </c>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361">
        <f>SUM(AG184:AL186)-AG187</f>
        <v>0</v>
      </c>
      <c r="AH188" s="361"/>
      <c r="AI188" s="361"/>
      <c r="AJ188" s="361"/>
      <c r="AK188" s="361"/>
      <c r="AL188" s="361"/>
      <c r="AX188" s="53">
        <v>7</v>
      </c>
      <c r="AY188" s="4">
        <f>IF(AND($AQ$24=1,$AM$171=1,SUM($AO$158:$AO$172)=0),1,0)</f>
        <v>0</v>
      </c>
      <c r="AZ188" s="4">
        <f>IF(AND($AQ$24=1,$AM$171=1,SUM($AR$158:$AR$172)=0),1,0)</f>
        <v>0</v>
      </c>
    </row>
    <row r="189" spans="1:52" s="4" customFormat="1" ht="11.25" x14ac:dyDescent="0.2">
      <c r="A189" s="40" t="s">
        <v>377</v>
      </c>
      <c r="B189" s="41"/>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5"/>
      <c r="AX189" s="53">
        <v>8</v>
      </c>
      <c r="AY189" s="4">
        <f>IF(AND($AQ$24=1,$AM$172=1,SUM($AO$158:$AO$172)=0),1,0)</f>
        <v>0</v>
      </c>
      <c r="AZ189" s="4">
        <f>IF(AND($AQ$24=1,$AM$172=1,SUM($AR$158:$AR$172)=0),1,0)</f>
        <v>0</v>
      </c>
    </row>
    <row r="190" spans="1:52" s="4" customFormat="1" ht="11.25" x14ac:dyDescent="0.2">
      <c r="A190" s="173">
        <v>12</v>
      </c>
      <c r="B190" s="174" t="s">
        <v>15</v>
      </c>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325">
        <f>AA158</f>
        <v>0</v>
      </c>
      <c r="AH190" s="325"/>
      <c r="AI190" s="325"/>
      <c r="AJ190" s="325"/>
      <c r="AK190" s="325"/>
      <c r="AL190" s="325"/>
    </row>
    <row r="191" spans="1:52" s="4" customFormat="1" ht="11.25" x14ac:dyDescent="0.2">
      <c r="A191" s="173">
        <v>13</v>
      </c>
      <c r="B191" s="174" t="s">
        <v>16</v>
      </c>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354">
        <f>AA159</f>
        <v>0</v>
      </c>
      <c r="AH191" s="354"/>
      <c r="AI191" s="354"/>
      <c r="AJ191" s="354"/>
      <c r="AK191" s="354"/>
      <c r="AL191" s="354"/>
    </row>
    <row r="192" spans="1:52" s="4" customFormat="1" ht="11.25" x14ac:dyDescent="0.2">
      <c r="A192" s="173">
        <v>14</v>
      </c>
      <c r="B192" s="174" t="s">
        <v>140</v>
      </c>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358">
        <f>AA164</f>
        <v>0</v>
      </c>
      <c r="AH192" s="358"/>
      <c r="AI192" s="358"/>
      <c r="AJ192" s="358"/>
      <c r="AK192" s="358"/>
      <c r="AL192" s="358"/>
    </row>
    <row r="193" spans="1:73" s="4" customFormat="1" ht="11.25" x14ac:dyDescent="0.2">
      <c r="A193" s="173">
        <v>15</v>
      </c>
      <c r="B193" s="174" t="s">
        <v>17</v>
      </c>
      <c r="C193" s="174"/>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c r="AG193" s="360">
        <f>AA168</f>
        <v>0</v>
      </c>
      <c r="AH193" s="360"/>
      <c r="AI193" s="360"/>
      <c r="AJ193" s="360"/>
      <c r="AK193" s="360"/>
      <c r="AL193" s="360"/>
    </row>
    <row r="194" spans="1:73" s="4" customFormat="1" ht="11.25" x14ac:dyDescent="0.2">
      <c r="A194" s="173">
        <v>16</v>
      </c>
      <c r="B194" s="174" t="s">
        <v>178</v>
      </c>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362">
        <f>AA169</f>
        <v>0</v>
      </c>
      <c r="AH194" s="362"/>
      <c r="AI194" s="362"/>
      <c r="AJ194" s="362"/>
      <c r="AK194" s="362"/>
      <c r="AL194" s="362"/>
      <c r="AP194" s="4" t="s">
        <v>362</v>
      </c>
    </row>
    <row r="195" spans="1:73" s="4" customFormat="1" ht="11.25" x14ac:dyDescent="0.2">
      <c r="A195" s="173">
        <v>17</v>
      </c>
      <c r="B195" s="174" t="s">
        <v>179</v>
      </c>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363">
        <f>AA170</f>
        <v>0</v>
      </c>
      <c r="AH195" s="363"/>
      <c r="AI195" s="363"/>
      <c r="AJ195" s="363"/>
      <c r="AK195" s="363"/>
      <c r="AL195" s="363"/>
      <c r="AP195" s="4" t="s">
        <v>505</v>
      </c>
    </row>
    <row r="196" spans="1:73" s="4" customFormat="1" ht="11.25" x14ac:dyDescent="0.2">
      <c r="A196" s="173">
        <v>18</v>
      </c>
      <c r="B196" s="174" t="s">
        <v>378</v>
      </c>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314">
        <v>0</v>
      </c>
      <c r="AH196" s="314"/>
      <c r="AI196" s="314"/>
      <c r="AJ196" s="314"/>
      <c r="AK196" s="314"/>
      <c r="AL196" s="293"/>
      <c r="AM196" s="7"/>
      <c r="AP196" s="4">
        <f>IF(AG196&lt;AG181,1,0)</f>
        <v>0</v>
      </c>
      <c r="BU196" s="7"/>
    </row>
    <row r="197" spans="1:73" s="4" customFormat="1" ht="11.25" x14ac:dyDescent="0.2">
      <c r="A197" s="182">
        <v>19</v>
      </c>
      <c r="B197" s="183" t="s">
        <v>180</v>
      </c>
      <c r="C197" s="183"/>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c r="AG197" s="328">
        <f>SUM(AG190:AL195)-AG196</f>
        <v>0</v>
      </c>
      <c r="AH197" s="328"/>
      <c r="AI197" s="328"/>
      <c r="AJ197" s="328"/>
      <c r="AK197" s="328"/>
      <c r="AL197" s="329"/>
      <c r="AM197" s="7"/>
      <c r="AN197" s="7"/>
      <c r="AO197" s="109"/>
      <c r="AP197" s="109" t="s">
        <v>533</v>
      </c>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c r="BR197" s="109"/>
      <c r="BS197" s="109"/>
      <c r="BT197" s="109"/>
      <c r="BU197" s="7"/>
    </row>
    <row r="198" spans="1:73" s="4" customFormat="1" ht="11.25" x14ac:dyDescent="0.2">
      <c r="AM198" s="7"/>
      <c r="AN198" s="7"/>
      <c r="AO198" s="7"/>
      <c r="AP198" s="7">
        <f>IF(AG197&lt;MAX(AG182,AG188),1,0)</f>
        <v>0</v>
      </c>
      <c r="AQ198" s="7"/>
      <c r="AR198" s="7"/>
      <c r="AS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row>
    <row r="199" spans="1:73" ht="12.75" x14ac:dyDescent="0.2">
      <c r="A199" s="152"/>
      <c r="B199" s="144" t="s">
        <v>536</v>
      </c>
      <c r="C199" s="144"/>
      <c r="D199" s="144"/>
      <c r="E199" s="144"/>
      <c r="F199" s="144"/>
      <c r="G199" s="144"/>
      <c r="H199" s="144"/>
      <c r="I199" s="144"/>
      <c r="J199" s="144"/>
      <c r="K199" s="144"/>
      <c r="L199" s="144"/>
      <c r="M199" s="144"/>
      <c r="N199" s="144"/>
      <c r="O199" s="144"/>
      <c r="P199" s="144"/>
      <c r="Q199" s="144"/>
      <c r="R199" s="144"/>
      <c r="S199" s="144"/>
      <c r="T199" s="144"/>
      <c r="U199" s="144" t="s">
        <v>537</v>
      </c>
      <c r="V199" s="144"/>
      <c r="W199" s="144"/>
      <c r="X199" s="144"/>
      <c r="Y199" s="144"/>
      <c r="Z199" s="144"/>
      <c r="AA199" s="144"/>
      <c r="AB199" s="144"/>
      <c r="AC199" s="144"/>
      <c r="AD199" s="144"/>
      <c r="AE199" s="144"/>
      <c r="AF199" s="144"/>
      <c r="AG199" s="144"/>
      <c r="AH199" s="1"/>
      <c r="AI199" s="1"/>
      <c r="AJ199" s="1"/>
      <c r="AK199" s="1"/>
      <c r="AL199" s="1"/>
      <c r="AP199" s="242" t="b">
        <v>0</v>
      </c>
      <c r="AQ199" s="251" t="b">
        <v>0</v>
      </c>
    </row>
    <row r="200" spans="1:73" s="4" customFormat="1" ht="11.25" x14ac:dyDescent="0.2">
      <c r="A200" s="7"/>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P200" s="53" t="s">
        <v>365</v>
      </c>
    </row>
    <row r="201" spans="1:73" ht="12.75" x14ac:dyDescent="0.2">
      <c r="A201" s="285" t="str">
        <f>IF(NOT(AND(A41="Looking good! Proceed to Part 1.",A121="",A153="Looking good! Proceed to Part 2.")),"",IF(SUM(BB158:BB172)&gt;0,"Error. You have entered output data, but your coversheet indicates that you did not undertake this activity. Please resolve this discrepancy.",IF(SUM(AY158:AY172)&gt;0,"Error. Total households cannot be less than the greater of P1 and P2. Reduce adjustment for duplication.",IF(AND(AM158=1,SUM(AN158:AR158)=0),"Enter household and expenditure outputs for Tenant-Based Rental Assistance.",IF(SUM(AU158:AX158)&gt;0,"Complete the entry for Tenant-Based Rental Assistance.",IF(AND(AM159=1,SUM(AN159:AR163)=0),"Enter household and expenditure outputs for Short-Term Rent, Mortgage, and Utility.",IF(SUM(AU159:AX163)&gt;0,"Complete the entry for Short-Term Rent, Mortgage, and Utility.",IF(AND(AM164=1,SUM(AN164:AR167)=0),"Enter household and expenditure outputs for Facility-Based Housing Assistance.",IF(SUM(AU164:AX167)&gt;0,"Complete the entry for Facility-Based Housing Assistance.",IF(AND(AM168=1,SUM(AN168:AR168)=0),"Enter household and expenditure outputs for Permanent Housing Placement.",IF(SUM(AU168:AX168)&gt;0,"Complete the entry for Permanent Housing Placement.",IF(AND(AM169=1,SUM(AN169:AR169)=0),"Enter household and expenditure outputs for Housing Case Management.",IF(SUM(AU169:AX169)&gt;0,"Complete the entry for Housing Case Management.",IF(AND(AM170=1,SUM(AN170:AR170)=0),"Enter household and expenditure outputs for Housing Information Services.",IF(SUM(AU170:AX170)&gt;0,"Complete the entry for Housing Information Services.",IF(AND(AM171=1,SUM(AN171:AR171)=0),"Enter expenditure outputs for Resource Identification.",IF(AND(AM172=1,SUM(AN172:AR172)=0),"Enter expenditure outputs for Project Sponsor Administration.",IF(SUM(AY175:AY189)&gt;0,"Enter all applicable P2 household outputs and all respective adjustments for duplication between P1 and P2.",IF(SUM(AZ175:AZ189)&gt;0,"Enter all applicable P2 expenditure outputs.",IF(SUM(AT176:AT178)&gt;0,"Error. You have entered an adjustment for duplication, but your coversheet indicates that none of your households had this type of duplication. Please resolve this discrepancy.",IF(AU176=1,"Row 6 cannot be less than the greater of Rows 1-4. Reduce adjustment for duplication.",IF(AU177=1,"Row 11 cannot be less than the greater of Rows 7-9. Reduce adjustment for duplication.",IF(AU178=1,"Row 19 cannot be less than the greater of Rows 12-17. Reduce adjustment for duplication.",IF(AND(AM176=1,AS176=0),"Enter an adjustment for duplication for households that received more than one type of housing assistance service.",IF(AND(AM177=1,AS177=0),"Enter an adjustment for duplication for households that received some combination of TBRA, FBHA, and/or PHP services only.",IF(AP187=1,"Row 10 cannot be greater than Row 5.",IF(AND(AM178=1,AS178=0),"Enter an adjustment for duplication for households that received more than one type of any HOPWA service.",IF(AP196=1,"Row 18 cannot be less than Row 5.",IF(AP198=1,"Error. Row 19 cannot be less than the greater of Rows 6 and 11. Reduce adjustment for duplication.",IF(AND(AP23=TRUE,AP199=FALSE),"Confirm that the P1 adjustments for duplication on Rows 5, 10, and 18 are correct.",IF(AND(AP24=TRUE,AQ199=FALSE),"Confirm that the P2 adjustments for duplication on Rows 5, 10, and 18 are correct.",IF(AND(AP199=TRUE,AQ199=TRUE),"Error. You may only select one.","Looking good! Proceed to Part 3."))))))))))))))))))))))))))))))))</f>
        <v/>
      </c>
      <c r="B201" s="285"/>
      <c r="C201" s="285"/>
      <c r="D201" s="285"/>
      <c r="E201" s="285"/>
      <c r="F201" s="285"/>
      <c r="G201" s="285"/>
      <c r="H201" s="285"/>
      <c r="I201" s="285"/>
      <c r="J201" s="285"/>
      <c r="K201" s="285"/>
      <c r="L201" s="285"/>
      <c r="M201" s="285"/>
      <c r="N201" s="285"/>
      <c r="O201" s="285"/>
      <c r="P201" s="285"/>
      <c r="Q201" s="285"/>
      <c r="R201" s="285"/>
      <c r="S201" s="285"/>
      <c r="T201" s="285"/>
      <c r="U201" s="285"/>
      <c r="V201" s="285"/>
      <c r="W201" s="285"/>
      <c r="X201" s="285"/>
      <c r="Y201" s="285"/>
      <c r="Z201" s="285"/>
      <c r="AA201" s="285"/>
      <c r="AB201" s="285"/>
      <c r="AC201" s="285"/>
      <c r="AD201" s="285"/>
      <c r="AE201" s="285"/>
      <c r="AF201" s="285"/>
      <c r="AG201" s="285"/>
      <c r="AH201" s="285"/>
      <c r="AI201" s="285"/>
      <c r="AJ201" s="285"/>
      <c r="AK201" s="285"/>
      <c r="AL201" s="285"/>
      <c r="AP201" s="212">
        <f>IF(AND(A201="Looking good! Proceed to Part 3.",SUM(AS158:AT172)&gt;0,SUM(AU158:AX172)=0,SUM(AY158:BB172)=0,SUM(AS176:AS178)&gt;0,SUM(AT176:AU178)=0,AP187=0,AP196=0,OR(AP199=TRUE,AQ199=TRUE)),1,0)</f>
        <v>0</v>
      </c>
      <c r="BB201" s="165">
        <f>IF(AND($AQ$23=1,AP41=1,AP121=1,AP153=1),1,0)</f>
        <v>0</v>
      </c>
    </row>
    <row r="202" spans="1:73" s="2" customFormat="1" ht="15.75" x14ac:dyDescent="0.25">
      <c r="A202" s="19" t="s">
        <v>318</v>
      </c>
      <c r="B202" s="19"/>
      <c r="C202" s="11" t="s">
        <v>358</v>
      </c>
      <c r="D202" s="11"/>
      <c r="S202" s="166" t="str">
        <f>IF($AQ$23=1,"- Not applicable -","")</f>
        <v/>
      </c>
      <c r="AM202" s="1"/>
    </row>
    <row r="203" spans="1:73" ht="12.75" x14ac:dyDescent="0.2">
      <c r="A203" s="73" t="s">
        <v>396</v>
      </c>
      <c r="C203" s="1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216"/>
      <c r="AH203" s="216"/>
      <c r="AI203" s="216"/>
      <c r="AJ203" s="216"/>
      <c r="AK203" s="216"/>
      <c r="AL203" s="216"/>
      <c r="AU203" s="10"/>
      <c r="AV203" s="4"/>
      <c r="AW203" s="4"/>
    </row>
    <row r="204" spans="1:73" s="4" customFormat="1" ht="11.25" x14ac:dyDescent="0.2">
      <c r="A204" s="56" t="s">
        <v>187</v>
      </c>
      <c r="B204" s="74"/>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326" t="s">
        <v>375</v>
      </c>
      <c r="AE204" s="326"/>
      <c r="AF204" s="326"/>
      <c r="AG204" s="28"/>
      <c r="AH204" s="28"/>
      <c r="AI204" s="28"/>
      <c r="AJ204" s="28"/>
      <c r="AK204" s="28"/>
      <c r="AL204" s="29"/>
      <c r="AU204" s="10"/>
      <c r="AV204" s="10"/>
      <c r="AW204" s="10"/>
    </row>
    <row r="205" spans="1:73" s="4" customFormat="1" ht="11.25" x14ac:dyDescent="0.2">
      <c r="A205" s="173">
        <v>1</v>
      </c>
      <c r="B205" s="174" t="s">
        <v>195</v>
      </c>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5"/>
      <c r="AG205" s="330">
        <f>AG197</f>
        <v>0</v>
      </c>
      <c r="AH205" s="331"/>
      <c r="AI205" s="331"/>
      <c r="AJ205" s="331"/>
      <c r="AK205" s="331"/>
      <c r="AL205" s="332"/>
      <c r="AM205" s="4" t="s">
        <v>375</v>
      </c>
      <c r="AR205" s="53" t="s">
        <v>366</v>
      </c>
      <c r="AU205" s="53" t="s">
        <v>363</v>
      </c>
      <c r="AZ205" s="4" t="s">
        <v>417</v>
      </c>
      <c r="BA205" s="109" t="s">
        <v>410</v>
      </c>
    </row>
    <row r="206" spans="1:73" s="4" customFormat="1" ht="11.25" x14ac:dyDescent="0.2">
      <c r="A206" s="173">
        <v>2</v>
      </c>
      <c r="B206" s="174" t="s">
        <v>196</v>
      </c>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319"/>
      <c r="AE206" s="320"/>
      <c r="AF206" s="321"/>
      <c r="AG206" s="314">
        <v>0</v>
      </c>
      <c r="AH206" s="314"/>
      <c r="AI206" s="314"/>
      <c r="AJ206" s="314"/>
      <c r="AK206" s="314"/>
      <c r="AL206" s="314"/>
      <c r="AM206" s="143">
        <f>IF(AJ35="Yes",1,0)</f>
        <v>0</v>
      </c>
      <c r="AQ206" s="142">
        <f>IF(AD206=0,0,1)</f>
        <v>0</v>
      </c>
      <c r="AR206" s="142">
        <f>IF(AG206=0,0,1)</f>
        <v>0</v>
      </c>
      <c r="AT206" s="137">
        <f>IF(AND(SUM(AQ206:AR206)&gt;0,AQ206=0),1,0)</f>
        <v>0</v>
      </c>
      <c r="AU206" s="137">
        <f>IF(AND(SUM(AQ206:AR206)&gt;0,AR206=0,AD206="Yes"),1,0)</f>
        <v>0</v>
      </c>
      <c r="AZ206" s="4">
        <f>IF(AND(SUM(AM206:AM207)&gt;0,AD206="No",AD207="No"),1,0)</f>
        <v>0</v>
      </c>
      <c r="BA206" s="4">
        <f>IF(AND(AD206="No",AR206&gt;0),1,0)</f>
        <v>0</v>
      </c>
    </row>
    <row r="207" spans="1:73" s="4" customFormat="1" ht="11.25" x14ac:dyDescent="0.2">
      <c r="A207" s="173">
        <v>3</v>
      </c>
      <c r="B207" s="174" t="s">
        <v>197</v>
      </c>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319"/>
      <c r="AE207" s="320"/>
      <c r="AF207" s="321"/>
      <c r="AG207" s="314">
        <v>0</v>
      </c>
      <c r="AH207" s="314"/>
      <c r="AI207" s="314"/>
      <c r="AJ207" s="314"/>
      <c r="AK207" s="314"/>
      <c r="AL207" s="314"/>
      <c r="AM207" s="143">
        <f>IF(AJ35="Yes",1,0)</f>
        <v>0</v>
      </c>
      <c r="AQ207" s="142">
        <f>IF(AD207=0,0,1)</f>
        <v>0</v>
      </c>
      <c r="AR207" s="142">
        <f>IF(AG207=0,0,1)</f>
        <v>0</v>
      </c>
      <c r="AT207" s="137">
        <f>IF(AND(SUM(AQ207:AR207)&gt;0,AQ207=0),1,0)</f>
        <v>0</v>
      </c>
      <c r="AU207" s="137">
        <f>IF(AND(SUM(AQ207:AR207)&gt;0,AR207=0,AD207="Yes"),1,0)</f>
        <v>0</v>
      </c>
      <c r="BA207" s="4">
        <f>IF(AND(AD207="No",AR207&gt;0),1,0)</f>
        <v>0</v>
      </c>
    </row>
    <row r="208" spans="1:73" s="4" customFormat="1" ht="11.25" x14ac:dyDescent="0.2">
      <c r="A208" s="182">
        <v>4</v>
      </c>
      <c r="B208" s="183" t="s">
        <v>141</v>
      </c>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327">
        <f>SUM(AG205:AL207)</f>
        <v>0</v>
      </c>
      <c r="AH208" s="327"/>
      <c r="AI208" s="327"/>
      <c r="AJ208" s="327"/>
      <c r="AK208" s="327"/>
      <c r="AL208" s="327"/>
    </row>
    <row r="209" spans="1:51" s="4" customFormat="1" ht="11.25" x14ac:dyDescent="0.2">
      <c r="AM209" s="199" t="s">
        <v>375</v>
      </c>
    </row>
    <row r="210" spans="1:51" ht="12.75" x14ac:dyDescent="0.2">
      <c r="A210" s="1" t="s">
        <v>397</v>
      </c>
      <c r="B210" s="3"/>
      <c r="AG210" s="1"/>
      <c r="AH210" s="1"/>
      <c r="AI210" s="1"/>
      <c r="AJ210" s="1"/>
      <c r="AK210" s="1"/>
      <c r="AL210" s="1"/>
      <c r="AM210" s="201"/>
    </row>
    <row r="211" spans="1:51" s="4" customFormat="1" ht="11.25" x14ac:dyDescent="0.2">
      <c r="A211" s="56" t="s">
        <v>191</v>
      </c>
      <c r="B211" s="74"/>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17"/>
      <c r="AL211" s="218"/>
      <c r="AM211" s="203" t="s">
        <v>219</v>
      </c>
    </row>
    <row r="212" spans="1:51" s="4" customFormat="1" ht="11.25" x14ac:dyDescent="0.2">
      <c r="A212" s="39" t="s">
        <v>82</v>
      </c>
      <c r="B212" s="21"/>
      <c r="C212" s="22"/>
      <c r="D212" s="22"/>
      <c r="E212" s="22"/>
      <c r="F212" s="22"/>
      <c r="G212" s="22"/>
      <c r="H212" s="22"/>
      <c r="I212" s="22"/>
      <c r="J212" s="22"/>
      <c r="K212" s="22"/>
      <c r="L212" s="30"/>
      <c r="M212" s="71" t="s">
        <v>70</v>
      </c>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72" t="s">
        <v>183</v>
      </c>
      <c r="AL212" s="64"/>
      <c r="AM212" s="243" t="s">
        <v>220</v>
      </c>
    </row>
    <row r="213" spans="1:51" s="4" customFormat="1" ht="11.25" x14ac:dyDescent="0.2">
      <c r="A213" s="25"/>
      <c r="B213" s="27"/>
      <c r="C213" s="27"/>
      <c r="D213" s="27"/>
      <c r="E213" s="27"/>
      <c r="F213" s="27"/>
      <c r="G213" s="27"/>
      <c r="H213" s="27"/>
      <c r="I213" s="27"/>
      <c r="J213" s="27"/>
      <c r="K213" s="27"/>
      <c r="L213" s="31"/>
      <c r="M213" s="63" t="s">
        <v>159</v>
      </c>
      <c r="N213" s="67"/>
      <c r="O213" s="67"/>
      <c r="P213" s="64"/>
      <c r="Q213" s="63" t="s">
        <v>160</v>
      </c>
      <c r="R213" s="67"/>
      <c r="S213" s="67"/>
      <c r="T213" s="64"/>
      <c r="U213" s="63" t="s">
        <v>161</v>
      </c>
      <c r="V213" s="67"/>
      <c r="W213" s="67"/>
      <c r="X213" s="64"/>
      <c r="Y213" s="63" t="s">
        <v>162</v>
      </c>
      <c r="Z213" s="67"/>
      <c r="AA213" s="67"/>
      <c r="AB213" s="64"/>
      <c r="AC213" s="63" t="s">
        <v>184</v>
      </c>
      <c r="AD213" s="67"/>
      <c r="AE213" s="67"/>
      <c r="AF213" s="64"/>
      <c r="AG213" s="63" t="s">
        <v>185</v>
      </c>
      <c r="AH213" s="67"/>
      <c r="AI213" s="67"/>
      <c r="AJ213" s="64"/>
      <c r="AK213" s="244"/>
      <c r="AL213" s="35"/>
    </row>
    <row r="214" spans="1:51" s="4" customFormat="1" ht="68.25" customHeight="1" x14ac:dyDescent="0.2">
      <c r="A214" s="25"/>
      <c r="B214" s="27"/>
      <c r="C214" s="27"/>
      <c r="D214" s="27"/>
      <c r="E214" s="27"/>
      <c r="F214" s="27"/>
      <c r="G214" s="27"/>
      <c r="H214" s="27"/>
      <c r="I214" s="27"/>
      <c r="J214" s="27"/>
      <c r="K214" s="27"/>
      <c r="L214" s="31"/>
      <c r="M214" s="69" t="s">
        <v>72</v>
      </c>
      <c r="N214" s="70" t="s">
        <v>73</v>
      </c>
      <c r="O214" s="70" t="s">
        <v>74</v>
      </c>
      <c r="P214" s="66" t="s">
        <v>75</v>
      </c>
      <c r="Q214" s="69" t="s">
        <v>72</v>
      </c>
      <c r="R214" s="70" t="s">
        <v>73</v>
      </c>
      <c r="S214" s="70" t="s">
        <v>74</v>
      </c>
      <c r="T214" s="66" t="s">
        <v>75</v>
      </c>
      <c r="U214" s="69" t="s">
        <v>72</v>
      </c>
      <c r="V214" s="70" t="s">
        <v>73</v>
      </c>
      <c r="W214" s="70" t="s">
        <v>74</v>
      </c>
      <c r="X214" s="66" t="s">
        <v>75</v>
      </c>
      <c r="Y214" s="69" t="s">
        <v>72</v>
      </c>
      <c r="Z214" s="70" t="s">
        <v>73</v>
      </c>
      <c r="AA214" s="70" t="s">
        <v>74</v>
      </c>
      <c r="AB214" s="66" t="s">
        <v>75</v>
      </c>
      <c r="AC214" s="69" t="s">
        <v>72</v>
      </c>
      <c r="AD214" s="70" t="s">
        <v>73</v>
      </c>
      <c r="AE214" s="70" t="s">
        <v>74</v>
      </c>
      <c r="AF214" s="66" t="s">
        <v>75</v>
      </c>
      <c r="AG214" s="69" t="s">
        <v>72</v>
      </c>
      <c r="AH214" s="70" t="s">
        <v>73</v>
      </c>
      <c r="AI214" s="70" t="s">
        <v>74</v>
      </c>
      <c r="AJ214" s="66" t="s">
        <v>75</v>
      </c>
      <c r="AK214" s="68" t="s">
        <v>163</v>
      </c>
      <c r="AL214" s="65" t="s">
        <v>186</v>
      </c>
      <c r="AQ214" s="53" t="s">
        <v>490</v>
      </c>
      <c r="AR214" s="53" t="s">
        <v>491</v>
      </c>
      <c r="AS214" s="53" t="s">
        <v>492</v>
      </c>
      <c r="AT214" s="53" t="s">
        <v>493</v>
      </c>
      <c r="AU214" s="53" t="s">
        <v>494</v>
      </c>
      <c r="AY214" s="53" t="s">
        <v>388</v>
      </c>
    </row>
    <row r="215" spans="1:51" s="4" customFormat="1" ht="11.25" x14ac:dyDescent="0.2">
      <c r="A215" s="173">
        <v>1</v>
      </c>
      <c r="B215" s="174" t="s">
        <v>76</v>
      </c>
      <c r="C215" s="174"/>
      <c r="D215" s="174"/>
      <c r="E215" s="174"/>
      <c r="F215" s="174"/>
      <c r="G215" s="174"/>
      <c r="H215" s="174"/>
      <c r="I215" s="174"/>
      <c r="J215" s="174"/>
      <c r="K215" s="174"/>
      <c r="L215" s="175"/>
      <c r="M215" s="191"/>
      <c r="N215" s="191"/>
      <c r="O215" s="191"/>
      <c r="P215" s="191"/>
      <c r="Q215" s="191"/>
      <c r="R215" s="191"/>
      <c r="S215" s="191"/>
      <c r="T215" s="191"/>
      <c r="U215" s="191"/>
      <c r="V215" s="191"/>
      <c r="W215" s="191"/>
      <c r="X215" s="191"/>
      <c r="Y215" s="191"/>
      <c r="Z215" s="191"/>
      <c r="AA215" s="191"/>
      <c r="AB215" s="191"/>
      <c r="AC215" s="191"/>
      <c r="AD215" s="191"/>
      <c r="AE215" s="191"/>
      <c r="AF215" s="191"/>
      <c r="AG215" s="191"/>
      <c r="AH215" s="191"/>
      <c r="AI215" s="191"/>
      <c r="AJ215" s="191"/>
      <c r="AK215" s="181"/>
      <c r="AL215" s="181"/>
      <c r="AQ215" s="53">
        <f>AG205</f>
        <v>0</v>
      </c>
      <c r="AR215" s="53">
        <f>SUM(M215:AJ224)</f>
        <v>0</v>
      </c>
      <c r="AS215" s="53">
        <f>SUM(AK215:AL224)</f>
        <v>0</v>
      </c>
      <c r="AT215" s="53">
        <f>IF(AQ215=AR215,1,0)</f>
        <v>1</v>
      </c>
      <c r="AU215" s="53">
        <f>IF(AQ215=AS215,1,0)</f>
        <v>1</v>
      </c>
      <c r="AY215" s="4">
        <f>IF(SUM(M215:AJ215)&lt;&gt;SUM(AK215:AL215),1,0)</f>
        <v>0</v>
      </c>
    </row>
    <row r="216" spans="1:51" s="4" customFormat="1" ht="11.25" x14ac:dyDescent="0.2">
      <c r="A216" s="173">
        <v>2</v>
      </c>
      <c r="B216" s="174" t="s">
        <v>167</v>
      </c>
      <c r="C216" s="174"/>
      <c r="D216" s="174"/>
      <c r="E216" s="174"/>
      <c r="F216" s="174"/>
      <c r="G216" s="174"/>
      <c r="H216" s="174"/>
      <c r="I216" s="174"/>
      <c r="J216" s="174"/>
      <c r="K216" s="174"/>
      <c r="L216" s="175"/>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Q216" s="53"/>
      <c r="AR216" s="53"/>
      <c r="AS216" s="53"/>
      <c r="AT216" s="53"/>
      <c r="AU216" s="53"/>
      <c r="AY216" s="4">
        <f t="shared" ref="AY216:AY224" si="31">IF(SUM(M216:AJ216)&lt;&gt;SUM(AK216:AL216),1,0)</f>
        <v>0</v>
      </c>
    </row>
    <row r="217" spans="1:51" s="4" customFormat="1" ht="11.25" x14ac:dyDescent="0.2">
      <c r="A217" s="173">
        <v>3</v>
      </c>
      <c r="B217" s="174" t="s">
        <v>164</v>
      </c>
      <c r="C217" s="174"/>
      <c r="D217" s="174"/>
      <c r="E217" s="174"/>
      <c r="F217" s="174"/>
      <c r="G217" s="174"/>
      <c r="H217" s="174"/>
      <c r="I217" s="174"/>
      <c r="J217" s="174"/>
      <c r="K217" s="174"/>
      <c r="L217" s="175"/>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4" t="s">
        <v>375</v>
      </c>
      <c r="AQ217" s="53" t="s">
        <v>385</v>
      </c>
      <c r="AR217" s="53" t="s">
        <v>383</v>
      </c>
      <c r="AS217" s="53" t="s">
        <v>384</v>
      </c>
      <c r="AT217" s="53" t="s">
        <v>386</v>
      </c>
      <c r="AU217" s="53" t="s">
        <v>387</v>
      </c>
      <c r="AV217" s="4" t="s">
        <v>373</v>
      </c>
      <c r="AY217" s="4">
        <f t="shared" si="31"/>
        <v>0</v>
      </c>
    </row>
    <row r="218" spans="1:51" s="4" customFormat="1" ht="11.25" x14ac:dyDescent="0.2">
      <c r="A218" s="173">
        <v>4</v>
      </c>
      <c r="B218" s="174" t="s">
        <v>77</v>
      </c>
      <c r="C218" s="174"/>
      <c r="D218" s="174"/>
      <c r="E218" s="174"/>
      <c r="F218" s="174"/>
      <c r="G218" s="174"/>
      <c r="H218" s="174"/>
      <c r="I218" s="174"/>
      <c r="J218" s="174"/>
      <c r="K218" s="174"/>
      <c r="L218" s="175"/>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43">
        <f>IF(AJ35="Yes",1,0)</f>
        <v>0</v>
      </c>
      <c r="AQ218" s="53">
        <f>SUM(AG206:AL207)</f>
        <v>0</v>
      </c>
      <c r="AR218" s="53">
        <f>SUM(M229:AJ238)</f>
        <v>0</v>
      </c>
      <c r="AS218" s="53">
        <f>SUM(AK229:AL238)</f>
        <v>0</v>
      </c>
      <c r="AT218" s="53">
        <f>IF(AQ218=AR218,1,0)</f>
        <v>1</v>
      </c>
      <c r="AU218" s="53">
        <f>IF(AQ218=AS218,1,0)</f>
        <v>1</v>
      </c>
      <c r="AV218" s="4">
        <f>IF(AND(AM218=0,OR(AR218&gt;0,AS218&gt;0)),1,0)</f>
        <v>0</v>
      </c>
      <c r="AY218" s="4">
        <f t="shared" si="31"/>
        <v>0</v>
      </c>
    </row>
    <row r="219" spans="1:51" s="4" customFormat="1" ht="11.25" x14ac:dyDescent="0.2">
      <c r="A219" s="173">
        <v>5</v>
      </c>
      <c r="B219" s="174" t="s">
        <v>165</v>
      </c>
      <c r="C219" s="174"/>
      <c r="D219" s="174"/>
      <c r="E219" s="174"/>
      <c r="F219" s="174"/>
      <c r="G219" s="174"/>
      <c r="H219" s="174"/>
      <c r="I219" s="174"/>
      <c r="J219" s="174"/>
      <c r="K219" s="174"/>
      <c r="L219" s="175"/>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Y219" s="4">
        <f t="shared" si="31"/>
        <v>0</v>
      </c>
    </row>
    <row r="220" spans="1:51" s="4" customFormat="1" ht="11.25" x14ac:dyDescent="0.2">
      <c r="A220" s="173">
        <v>6</v>
      </c>
      <c r="B220" s="174" t="s">
        <v>78</v>
      </c>
      <c r="C220" s="174"/>
      <c r="D220" s="174"/>
      <c r="E220" s="174"/>
      <c r="F220" s="174"/>
      <c r="G220" s="174"/>
      <c r="H220" s="174"/>
      <c r="I220" s="174"/>
      <c r="J220" s="174"/>
      <c r="K220" s="174"/>
      <c r="L220" s="175"/>
      <c r="M220" s="181"/>
      <c r="N220" s="181"/>
      <c r="O220" s="181"/>
      <c r="P220" s="181"/>
      <c r="Q220" s="181"/>
      <c r="R220" s="181"/>
      <c r="S220" s="181"/>
      <c r="T220" s="181"/>
      <c r="U220" s="181"/>
      <c r="V220" s="181"/>
      <c r="W220" s="181"/>
      <c r="X220" s="181"/>
      <c r="Y220" s="181"/>
      <c r="Z220" s="181"/>
      <c r="AA220" s="181"/>
      <c r="AB220" s="181"/>
      <c r="AC220" s="181"/>
      <c r="AD220" s="181"/>
      <c r="AE220" s="181"/>
      <c r="AF220" s="181"/>
      <c r="AG220" s="181"/>
      <c r="AH220" s="181"/>
      <c r="AI220" s="181"/>
      <c r="AJ220" s="181"/>
      <c r="AK220" s="181"/>
      <c r="AL220" s="181"/>
      <c r="AY220" s="4">
        <f t="shared" si="31"/>
        <v>0</v>
      </c>
    </row>
    <row r="221" spans="1:51" s="4" customFormat="1" ht="11.25" x14ac:dyDescent="0.2">
      <c r="A221" s="173">
        <v>7</v>
      </c>
      <c r="B221" s="174" t="s">
        <v>166</v>
      </c>
      <c r="C221" s="174"/>
      <c r="D221" s="174"/>
      <c r="E221" s="174"/>
      <c r="F221" s="174"/>
      <c r="G221" s="174"/>
      <c r="H221" s="174"/>
      <c r="I221" s="174"/>
      <c r="J221" s="174"/>
      <c r="K221" s="174"/>
      <c r="L221" s="175"/>
      <c r="M221" s="181"/>
      <c r="N221" s="181"/>
      <c r="O221" s="181"/>
      <c r="P221" s="181"/>
      <c r="Q221" s="181"/>
      <c r="R221" s="181"/>
      <c r="S221" s="181"/>
      <c r="T221" s="181"/>
      <c r="U221" s="181"/>
      <c r="V221" s="181"/>
      <c r="W221" s="181"/>
      <c r="X221" s="181"/>
      <c r="Y221" s="181"/>
      <c r="Z221" s="181"/>
      <c r="AA221" s="181"/>
      <c r="AB221" s="181"/>
      <c r="AC221" s="181"/>
      <c r="AD221" s="181"/>
      <c r="AE221" s="181"/>
      <c r="AF221" s="181"/>
      <c r="AG221" s="181"/>
      <c r="AH221" s="181"/>
      <c r="AI221" s="181"/>
      <c r="AJ221" s="181"/>
      <c r="AK221" s="181"/>
      <c r="AL221" s="181"/>
      <c r="AY221" s="4">
        <f t="shared" si="31"/>
        <v>0</v>
      </c>
    </row>
    <row r="222" spans="1:51" s="4" customFormat="1" ht="11.25" x14ac:dyDescent="0.2">
      <c r="A222" s="173">
        <v>8</v>
      </c>
      <c r="B222" s="174" t="s">
        <v>79</v>
      </c>
      <c r="C222" s="174"/>
      <c r="D222" s="174"/>
      <c r="E222" s="174"/>
      <c r="F222" s="174"/>
      <c r="G222" s="174"/>
      <c r="H222" s="174"/>
      <c r="I222" s="174"/>
      <c r="J222" s="174"/>
      <c r="K222" s="174"/>
      <c r="L222" s="175"/>
      <c r="M222" s="181"/>
      <c r="N222" s="181"/>
      <c r="O222" s="181"/>
      <c r="P222" s="181"/>
      <c r="Q222" s="181"/>
      <c r="R222" s="181"/>
      <c r="S222" s="181"/>
      <c r="T222" s="181"/>
      <c r="U222" s="181"/>
      <c r="V222" s="181"/>
      <c r="W222" s="181"/>
      <c r="X222" s="181"/>
      <c r="Y222" s="181"/>
      <c r="Z222" s="181"/>
      <c r="AA222" s="181"/>
      <c r="AB222" s="181"/>
      <c r="AC222" s="181"/>
      <c r="AD222" s="181"/>
      <c r="AE222" s="181"/>
      <c r="AF222" s="181"/>
      <c r="AG222" s="181"/>
      <c r="AH222" s="181"/>
      <c r="AI222" s="181"/>
      <c r="AJ222" s="181"/>
      <c r="AK222" s="181"/>
      <c r="AL222" s="181"/>
      <c r="AY222" s="4">
        <f t="shared" si="31"/>
        <v>0</v>
      </c>
    </row>
    <row r="223" spans="1:51" s="4" customFormat="1" ht="11.25" x14ac:dyDescent="0.2">
      <c r="A223" s="173">
        <v>9</v>
      </c>
      <c r="B223" s="174" t="s">
        <v>81</v>
      </c>
      <c r="C223" s="174"/>
      <c r="D223" s="174"/>
      <c r="E223" s="174"/>
      <c r="F223" s="174"/>
      <c r="G223" s="174"/>
      <c r="H223" s="174"/>
      <c r="I223" s="174"/>
      <c r="J223" s="174"/>
      <c r="K223" s="174"/>
      <c r="L223" s="175"/>
      <c r="M223" s="181"/>
      <c r="N223" s="181"/>
      <c r="O223" s="181"/>
      <c r="P223" s="181"/>
      <c r="Q223" s="181"/>
      <c r="R223" s="181"/>
      <c r="S223" s="181"/>
      <c r="T223" s="181"/>
      <c r="U223" s="181"/>
      <c r="V223" s="181"/>
      <c r="W223" s="181"/>
      <c r="X223" s="181"/>
      <c r="Y223" s="181"/>
      <c r="Z223" s="181"/>
      <c r="AA223" s="181"/>
      <c r="AB223" s="181"/>
      <c r="AC223" s="181"/>
      <c r="AD223" s="181"/>
      <c r="AE223" s="181"/>
      <c r="AF223" s="181"/>
      <c r="AG223" s="181"/>
      <c r="AH223" s="181"/>
      <c r="AI223" s="181"/>
      <c r="AJ223" s="181"/>
      <c r="AK223" s="181"/>
      <c r="AL223" s="181"/>
      <c r="AY223" s="4">
        <f t="shared" si="31"/>
        <v>0</v>
      </c>
    </row>
    <row r="224" spans="1:51" s="4" customFormat="1" ht="11.25" x14ac:dyDescent="0.2">
      <c r="A224" s="173">
        <v>10</v>
      </c>
      <c r="B224" s="174" t="s">
        <v>80</v>
      </c>
      <c r="C224" s="174"/>
      <c r="D224" s="174"/>
      <c r="E224" s="174"/>
      <c r="F224" s="174"/>
      <c r="G224" s="174"/>
      <c r="H224" s="174"/>
      <c r="I224" s="174"/>
      <c r="J224" s="174"/>
      <c r="K224" s="174"/>
      <c r="L224" s="175"/>
      <c r="M224" s="185"/>
      <c r="N224" s="185"/>
      <c r="O224" s="185"/>
      <c r="P224" s="185"/>
      <c r="Q224" s="185"/>
      <c r="R224" s="185"/>
      <c r="S224" s="185"/>
      <c r="T224" s="185"/>
      <c r="U224" s="185"/>
      <c r="V224" s="185"/>
      <c r="W224" s="185"/>
      <c r="X224" s="185"/>
      <c r="Y224" s="185"/>
      <c r="Z224" s="185"/>
      <c r="AA224" s="185"/>
      <c r="AB224" s="185"/>
      <c r="AC224" s="185"/>
      <c r="AD224" s="185"/>
      <c r="AE224" s="185"/>
      <c r="AF224" s="185"/>
      <c r="AG224" s="185"/>
      <c r="AH224" s="185"/>
      <c r="AI224" s="185"/>
      <c r="AJ224" s="185"/>
      <c r="AK224" s="185"/>
      <c r="AL224" s="185"/>
      <c r="AY224" s="4">
        <f t="shared" si="31"/>
        <v>0</v>
      </c>
    </row>
    <row r="225" spans="1:54" s="4" customFormat="1" ht="11.25" x14ac:dyDescent="0.2">
      <c r="A225" s="56" t="s">
        <v>192</v>
      </c>
      <c r="B225" s="74"/>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9"/>
    </row>
    <row r="226" spans="1:54" s="4" customFormat="1" ht="11.25" x14ac:dyDescent="0.2">
      <c r="A226" s="39" t="s">
        <v>82</v>
      </c>
      <c r="B226" s="21"/>
      <c r="C226" s="22"/>
      <c r="D226" s="22"/>
      <c r="E226" s="22"/>
      <c r="F226" s="22"/>
      <c r="G226" s="22"/>
      <c r="H226" s="22"/>
      <c r="I226" s="22"/>
      <c r="J226" s="22"/>
      <c r="K226" s="22"/>
      <c r="L226" s="30"/>
      <c r="M226" s="71" t="s">
        <v>70</v>
      </c>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2"/>
      <c r="AK226" s="72" t="s">
        <v>183</v>
      </c>
      <c r="AL226" s="64"/>
    </row>
    <row r="227" spans="1:54" s="4" customFormat="1" ht="11.25" x14ac:dyDescent="0.2">
      <c r="A227" s="25"/>
      <c r="B227" s="27"/>
      <c r="C227" s="27"/>
      <c r="D227" s="27"/>
      <c r="E227" s="27"/>
      <c r="F227" s="27"/>
      <c r="G227" s="27"/>
      <c r="H227" s="27"/>
      <c r="I227" s="27"/>
      <c r="J227" s="27"/>
      <c r="K227" s="27"/>
      <c r="L227" s="31"/>
      <c r="M227" s="60" t="s">
        <v>159</v>
      </c>
      <c r="N227" s="61"/>
      <c r="O227" s="61"/>
      <c r="P227" s="62"/>
      <c r="Q227" s="60" t="s">
        <v>160</v>
      </c>
      <c r="R227" s="61"/>
      <c r="S227" s="61"/>
      <c r="T227" s="62"/>
      <c r="U227" s="60" t="s">
        <v>161</v>
      </c>
      <c r="V227" s="61"/>
      <c r="W227" s="61"/>
      <c r="X227" s="62"/>
      <c r="Y227" s="60" t="s">
        <v>162</v>
      </c>
      <c r="Z227" s="61"/>
      <c r="AA227" s="61"/>
      <c r="AB227" s="62"/>
      <c r="AC227" s="60" t="s">
        <v>184</v>
      </c>
      <c r="AD227" s="61"/>
      <c r="AE227" s="61"/>
      <c r="AF227" s="62"/>
      <c r="AG227" s="60" t="s">
        <v>185</v>
      </c>
      <c r="AH227" s="61"/>
      <c r="AI227" s="61"/>
      <c r="AJ227" s="62"/>
      <c r="AK227" s="244"/>
      <c r="AL227" s="35"/>
    </row>
    <row r="228" spans="1:54" s="4" customFormat="1" ht="68.25" customHeight="1" x14ac:dyDescent="0.2">
      <c r="A228" s="25"/>
      <c r="B228" s="27"/>
      <c r="C228" s="27"/>
      <c r="D228" s="27"/>
      <c r="E228" s="27"/>
      <c r="F228" s="27"/>
      <c r="G228" s="27"/>
      <c r="H228" s="27"/>
      <c r="I228" s="27"/>
      <c r="J228" s="27"/>
      <c r="K228" s="27"/>
      <c r="L228" s="31"/>
      <c r="M228" s="69" t="s">
        <v>72</v>
      </c>
      <c r="N228" s="70" t="s">
        <v>73</v>
      </c>
      <c r="O228" s="70" t="s">
        <v>74</v>
      </c>
      <c r="P228" s="66" t="s">
        <v>75</v>
      </c>
      <c r="Q228" s="69" t="s">
        <v>72</v>
      </c>
      <c r="R228" s="70" t="s">
        <v>73</v>
      </c>
      <c r="S228" s="70" t="s">
        <v>74</v>
      </c>
      <c r="T228" s="66" t="s">
        <v>75</v>
      </c>
      <c r="U228" s="69" t="s">
        <v>72</v>
      </c>
      <c r="V228" s="70" t="s">
        <v>73</v>
      </c>
      <c r="W228" s="70" t="s">
        <v>74</v>
      </c>
      <c r="X228" s="66" t="s">
        <v>75</v>
      </c>
      <c r="Y228" s="69" t="s">
        <v>72</v>
      </c>
      <c r="Z228" s="70" t="s">
        <v>73</v>
      </c>
      <c r="AA228" s="70" t="s">
        <v>74</v>
      </c>
      <c r="AB228" s="66" t="s">
        <v>75</v>
      </c>
      <c r="AC228" s="69" t="s">
        <v>72</v>
      </c>
      <c r="AD228" s="70" t="s">
        <v>73</v>
      </c>
      <c r="AE228" s="70" t="s">
        <v>74</v>
      </c>
      <c r="AF228" s="66" t="s">
        <v>75</v>
      </c>
      <c r="AG228" s="69" t="s">
        <v>72</v>
      </c>
      <c r="AH228" s="70" t="s">
        <v>73</v>
      </c>
      <c r="AI228" s="70" t="s">
        <v>74</v>
      </c>
      <c r="AJ228" s="66" t="s">
        <v>75</v>
      </c>
      <c r="AK228" s="245" t="s">
        <v>163</v>
      </c>
      <c r="AL228" s="246" t="s">
        <v>186</v>
      </c>
    </row>
    <row r="229" spans="1:54" s="4" customFormat="1" ht="11.25" x14ac:dyDescent="0.2">
      <c r="A229" s="237">
        <v>11</v>
      </c>
      <c r="B229" s="238" t="s">
        <v>76</v>
      </c>
      <c r="C229" s="238"/>
      <c r="D229" s="238"/>
      <c r="E229" s="238"/>
      <c r="F229" s="238"/>
      <c r="G229" s="238"/>
      <c r="H229" s="238"/>
      <c r="I229" s="238"/>
      <c r="J229" s="238"/>
      <c r="K229" s="238"/>
      <c r="L229" s="239"/>
      <c r="M229" s="236"/>
      <c r="N229" s="240"/>
      <c r="O229" s="240"/>
      <c r="P229" s="240"/>
      <c r="Q229" s="240"/>
      <c r="R229" s="240"/>
      <c r="S229" s="240"/>
      <c r="T229" s="240"/>
      <c r="U229" s="240"/>
      <c r="V229" s="240"/>
      <c r="W229" s="240"/>
      <c r="X229" s="240"/>
      <c r="Y229" s="240"/>
      <c r="Z229" s="240"/>
      <c r="AA229" s="240"/>
      <c r="AB229" s="240"/>
      <c r="AC229" s="240"/>
      <c r="AD229" s="240"/>
      <c r="AE229" s="240"/>
      <c r="AF229" s="240"/>
      <c r="AG229" s="240"/>
      <c r="AH229" s="240"/>
      <c r="AI229" s="240"/>
      <c r="AJ229" s="240"/>
      <c r="AK229" s="240"/>
      <c r="AL229" s="240"/>
      <c r="AO229" s="4" t="s">
        <v>510</v>
      </c>
      <c r="AY229" s="4">
        <f>IF(SUM(M229:AJ229)&lt;&gt;SUM(AK229:AL229),1,0)</f>
        <v>0</v>
      </c>
    </row>
    <row r="230" spans="1:54" s="4" customFormat="1" ht="11.25" x14ac:dyDescent="0.2">
      <c r="A230" s="237">
        <v>12</v>
      </c>
      <c r="B230" s="238" t="s">
        <v>167</v>
      </c>
      <c r="C230" s="238"/>
      <c r="D230" s="238"/>
      <c r="E230" s="238"/>
      <c r="F230" s="238"/>
      <c r="G230" s="238"/>
      <c r="H230" s="238"/>
      <c r="I230" s="238"/>
      <c r="J230" s="238"/>
      <c r="K230" s="238"/>
      <c r="L230" s="239"/>
      <c r="M230" s="236"/>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240"/>
      <c r="AL230" s="240"/>
      <c r="AO230" s="4" t="s">
        <v>506</v>
      </c>
      <c r="AP230" s="4">
        <f>IF(A240=CONCATENATE("Enter the number of eligible individuals served by race, age, and gender by any HOPWA activity. Total must equal ",AQ215,". You've entered ",AR215,"."),1,0)</f>
        <v>0</v>
      </c>
      <c r="AY230" s="4">
        <f t="shared" ref="AY230:AY238" si="32">IF(SUM(M230:AJ230)&lt;&gt;SUM(AK230:AL230),1,0)</f>
        <v>0</v>
      </c>
    </row>
    <row r="231" spans="1:54" s="4" customFormat="1" ht="11.25" x14ac:dyDescent="0.2">
      <c r="A231" s="237">
        <v>13</v>
      </c>
      <c r="B231" s="238" t="s">
        <v>164</v>
      </c>
      <c r="C231" s="238"/>
      <c r="D231" s="238"/>
      <c r="E231" s="238"/>
      <c r="F231" s="238"/>
      <c r="G231" s="238"/>
      <c r="H231" s="238"/>
      <c r="I231" s="238"/>
      <c r="J231" s="238"/>
      <c r="K231" s="238"/>
      <c r="L231" s="239"/>
      <c r="M231" s="236"/>
      <c r="N231" s="240"/>
      <c r="O231" s="240"/>
      <c r="P231" s="240"/>
      <c r="Q231" s="240"/>
      <c r="R231" s="240"/>
      <c r="S231" s="240"/>
      <c r="T231" s="240"/>
      <c r="U231" s="240"/>
      <c r="V231" s="240"/>
      <c r="W231" s="240"/>
      <c r="X231" s="240"/>
      <c r="Y231" s="240"/>
      <c r="Z231" s="240"/>
      <c r="AA231" s="240"/>
      <c r="AB231" s="240"/>
      <c r="AC231" s="240"/>
      <c r="AD231" s="240"/>
      <c r="AE231" s="240"/>
      <c r="AF231" s="240"/>
      <c r="AG231" s="240"/>
      <c r="AH231" s="240"/>
      <c r="AI231" s="240"/>
      <c r="AJ231" s="240"/>
      <c r="AK231" s="240"/>
      <c r="AL231" s="240"/>
      <c r="AO231" s="4" t="s">
        <v>507</v>
      </c>
      <c r="AP231" s="4">
        <f>IF(A240=CONCATENATE("Enter the number of eligible individuals served by ethnicity by any HOPWA activity. Total must equal ",AQ215,". You've entered ",AS215,"."),1,0)</f>
        <v>0</v>
      </c>
      <c r="AY231" s="4">
        <f t="shared" si="32"/>
        <v>0</v>
      </c>
    </row>
    <row r="232" spans="1:54" s="4" customFormat="1" ht="11.25" x14ac:dyDescent="0.2">
      <c r="A232" s="237">
        <v>14</v>
      </c>
      <c r="B232" s="238" t="s">
        <v>77</v>
      </c>
      <c r="C232" s="238"/>
      <c r="D232" s="238"/>
      <c r="E232" s="238"/>
      <c r="F232" s="238"/>
      <c r="G232" s="238"/>
      <c r="H232" s="238"/>
      <c r="I232" s="238"/>
      <c r="J232" s="238"/>
      <c r="K232" s="238"/>
      <c r="L232" s="239"/>
      <c r="M232" s="236"/>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0"/>
      <c r="AJ232" s="240"/>
      <c r="AK232" s="240"/>
      <c r="AL232" s="240"/>
      <c r="AO232" s="4" t="s">
        <v>508</v>
      </c>
      <c r="AP232" s="4">
        <f>IF(A240=CONCATENATE("Enter the number of additional beneficiaries served by race, age, and gender by any HOPWA activity. Total must equal ",AQ218,". You've entered ",AR218,"."),1,0)</f>
        <v>0</v>
      </c>
      <c r="AY232" s="4">
        <f t="shared" si="32"/>
        <v>0</v>
      </c>
    </row>
    <row r="233" spans="1:54" s="4" customFormat="1" ht="11.25" x14ac:dyDescent="0.2">
      <c r="A233" s="237">
        <v>15</v>
      </c>
      <c r="B233" s="238" t="s">
        <v>165</v>
      </c>
      <c r="C233" s="238"/>
      <c r="D233" s="238"/>
      <c r="E233" s="238"/>
      <c r="F233" s="238"/>
      <c r="G233" s="238"/>
      <c r="H233" s="238"/>
      <c r="I233" s="238"/>
      <c r="J233" s="238"/>
      <c r="K233" s="238"/>
      <c r="L233" s="239"/>
      <c r="M233" s="236"/>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O233" s="4" t="s">
        <v>509</v>
      </c>
      <c r="AP233" s="4">
        <f>IF(A240=CONCATENATE("Enter the number of additional beneficiaries served by ethnicity by any HOPWA activity category. Total must equal ",AQ218,". You've entered ",AS218,"."),1,0)</f>
        <v>0</v>
      </c>
      <c r="AY233" s="4">
        <f t="shared" si="32"/>
        <v>0</v>
      </c>
    </row>
    <row r="234" spans="1:54" s="4" customFormat="1" ht="11.25" x14ac:dyDescent="0.2">
      <c r="A234" s="237">
        <v>16</v>
      </c>
      <c r="B234" s="238" t="s">
        <v>78</v>
      </c>
      <c r="C234" s="238"/>
      <c r="D234" s="238"/>
      <c r="E234" s="238"/>
      <c r="F234" s="238"/>
      <c r="G234" s="238"/>
      <c r="H234" s="238"/>
      <c r="I234" s="238"/>
      <c r="J234" s="238"/>
      <c r="K234" s="238"/>
      <c r="L234" s="239"/>
      <c r="M234" s="236"/>
      <c r="N234" s="240"/>
      <c r="O234" s="240"/>
      <c r="P234" s="240"/>
      <c r="Q234" s="240"/>
      <c r="R234" s="240"/>
      <c r="S234" s="240"/>
      <c r="T234" s="240"/>
      <c r="U234" s="240"/>
      <c r="V234" s="240"/>
      <c r="W234" s="240"/>
      <c r="X234" s="240"/>
      <c r="Y234" s="240"/>
      <c r="Z234" s="240"/>
      <c r="AA234" s="240"/>
      <c r="AB234" s="240"/>
      <c r="AC234" s="240"/>
      <c r="AD234" s="240"/>
      <c r="AE234" s="240"/>
      <c r="AF234" s="240"/>
      <c r="AG234" s="240"/>
      <c r="AH234" s="240"/>
      <c r="AI234" s="240"/>
      <c r="AJ234" s="240"/>
      <c r="AK234" s="240"/>
      <c r="AL234" s="240"/>
      <c r="AY234" s="4">
        <f t="shared" si="32"/>
        <v>0</v>
      </c>
    </row>
    <row r="235" spans="1:54" s="4" customFormat="1" ht="11.25" x14ac:dyDescent="0.2">
      <c r="A235" s="237">
        <v>17</v>
      </c>
      <c r="B235" s="238" t="s">
        <v>166</v>
      </c>
      <c r="C235" s="238"/>
      <c r="D235" s="238"/>
      <c r="E235" s="238"/>
      <c r="F235" s="238"/>
      <c r="G235" s="238"/>
      <c r="H235" s="238"/>
      <c r="I235" s="238"/>
      <c r="J235" s="238"/>
      <c r="K235" s="238"/>
      <c r="L235" s="239"/>
      <c r="M235" s="236"/>
      <c r="N235" s="240"/>
      <c r="O235" s="240"/>
      <c r="P235" s="240"/>
      <c r="Q235" s="240"/>
      <c r="R235" s="240"/>
      <c r="S235" s="240"/>
      <c r="T235" s="240"/>
      <c r="U235" s="240"/>
      <c r="V235" s="240"/>
      <c r="W235" s="240"/>
      <c r="X235" s="240"/>
      <c r="Y235" s="240"/>
      <c r="Z235" s="240"/>
      <c r="AA235" s="240"/>
      <c r="AB235" s="240"/>
      <c r="AC235" s="240"/>
      <c r="AD235" s="240"/>
      <c r="AE235" s="240"/>
      <c r="AF235" s="240"/>
      <c r="AG235" s="240"/>
      <c r="AH235" s="240"/>
      <c r="AI235" s="240"/>
      <c r="AJ235" s="240"/>
      <c r="AK235" s="240"/>
      <c r="AL235" s="240"/>
      <c r="AY235" s="4">
        <f t="shared" si="32"/>
        <v>0</v>
      </c>
    </row>
    <row r="236" spans="1:54" s="4" customFormat="1" ht="11.25" x14ac:dyDescent="0.2">
      <c r="A236" s="237">
        <v>18</v>
      </c>
      <c r="B236" s="238" t="s">
        <v>79</v>
      </c>
      <c r="C236" s="238"/>
      <c r="D236" s="238"/>
      <c r="E236" s="238"/>
      <c r="F236" s="238"/>
      <c r="G236" s="238"/>
      <c r="H236" s="238"/>
      <c r="I236" s="238"/>
      <c r="J236" s="238"/>
      <c r="K236" s="238"/>
      <c r="L236" s="239"/>
      <c r="M236" s="236"/>
      <c r="N236" s="240"/>
      <c r="O236" s="240"/>
      <c r="P236" s="240"/>
      <c r="Q236" s="240"/>
      <c r="R236" s="240"/>
      <c r="S236" s="240"/>
      <c r="T236" s="240"/>
      <c r="U236" s="240"/>
      <c r="V236" s="240"/>
      <c r="W236" s="240"/>
      <c r="X236" s="240"/>
      <c r="Y236" s="240"/>
      <c r="Z236" s="240"/>
      <c r="AA236" s="240"/>
      <c r="AB236" s="240"/>
      <c r="AC236" s="240"/>
      <c r="AD236" s="240"/>
      <c r="AE236" s="240"/>
      <c r="AF236" s="240"/>
      <c r="AG236" s="240"/>
      <c r="AH236" s="240"/>
      <c r="AI236" s="240"/>
      <c r="AJ236" s="240"/>
      <c r="AK236" s="240"/>
      <c r="AL236" s="240"/>
      <c r="AY236" s="4">
        <f t="shared" si="32"/>
        <v>0</v>
      </c>
    </row>
    <row r="237" spans="1:54" s="4" customFormat="1" ht="11.25" x14ac:dyDescent="0.2">
      <c r="A237" s="237">
        <v>19</v>
      </c>
      <c r="B237" s="238" t="s">
        <v>81</v>
      </c>
      <c r="C237" s="238"/>
      <c r="D237" s="238"/>
      <c r="E237" s="238"/>
      <c r="F237" s="238"/>
      <c r="G237" s="238"/>
      <c r="H237" s="238"/>
      <c r="I237" s="238"/>
      <c r="J237" s="238"/>
      <c r="K237" s="238"/>
      <c r="L237" s="239"/>
      <c r="M237" s="236"/>
      <c r="N237" s="240"/>
      <c r="O237" s="240"/>
      <c r="P237" s="240"/>
      <c r="Q237" s="240"/>
      <c r="R237" s="240"/>
      <c r="S237" s="240"/>
      <c r="T237" s="240"/>
      <c r="U237" s="240"/>
      <c r="V237" s="240"/>
      <c r="W237" s="240"/>
      <c r="X237" s="240"/>
      <c r="Y237" s="240"/>
      <c r="Z237" s="240"/>
      <c r="AA237" s="240"/>
      <c r="AB237" s="240"/>
      <c r="AC237" s="240"/>
      <c r="AD237" s="240"/>
      <c r="AE237" s="240"/>
      <c r="AF237" s="240"/>
      <c r="AG237" s="240"/>
      <c r="AH237" s="240"/>
      <c r="AI237" s="240"/>
      <c r="AJ237" s="240"/>
      <c r="AK237" s="240"/>
      <c r="AL237" s="240"/>
      <c r="AY237" s="4">
        <f t="shared" si="32"/>
        <v>0</v>
      </c>
    </row>
    <row r="238" spans="1:54" s="4" customFormat="1" ht="11.25" x14ac:dyDescent="0.2">
      <c r="A238" s="237">
        <v>20</v>
      </c>
      <c r="B238" s="238" t="s">
        <v>80</v>
      </c>
      <c r="C238" s="238"/>
      <c r="D238" s="238"/>
      <c r="E238" s="238"/>
      <c r="F238" s="238"/>
      <c r="G238" s="238"/>
      <c r="H238" s="238"/>
      <c r="I238" s="238"/>
      <c r="J238" s="238"/>
      <c r="K238" s="238"/>
      <c r="L238" s="239"/>
      <c r="M238" s="236"/>
      <c r="N238" s="240"/>
      <c r="O238" s="240"/>
      <c r="P238" s="240"/>
      <c r="Q238" s="240"/>
      <c r="R238" s="240"/>
      <c r="S238" s="240"/>
      <c r="T238" s="240"/>
      <c r="U238" s="240"/>
      <c r="V238" s="240"/>
      <c r="W238" s="240"/>
      <c r="X238" s="240"/>
      <c r="Y238" s="240"/>
      <c r="Z238" s="240"/>
      <c r="AA238" s="240"/>
      <c r="AB238" s="240"/>
      <c r="AC238" s="240"/>
      <c r="AD238" s="240"/>
      <c r="AE238" s="240"/>
      <c r="AF238" s="240"/>
      <c r="AG238" s="240"/>
      <c r="AH238" s="240"/>
      <c r="AI238" s="240"/>
      <c r="AJ238" s="240"/>
      <c r="AK238" s="240"/>
      <c r="AL238" s="240"/>
      <c r="AY238" s="4">
        <f t="shared" si="32"/>
        <v>0</v>
      </c>
    </row>
    <row r="239" spans="1:54" s="52" customFormat="1" ht="11.25" x14ac:dyDescent="0.2">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E239" s="140"/>
      <c r="AF239" s="140"/>
      <c r="AG239" s="140"/>
      <c r="AH239" s="140"/>
      <c r="AI239" s="140"/>
      <c r="AJ239" s="140"/>
      <c r="AK239" s="140"/>
      <c r="AL239" s="140"/>
      <c r="AP239" s="53" t="s">
        <v>365</v>
      </c>
      <c r="BA239" s="52" t="s">
        <v>511</v>
      </c>
      <c r="BB239" s="52">
        <f>$AQ$23</f>
        <v>0</v>
      </c>
    </row>
    <row r="240" spans="1:54" s="145" customFormat="1" ht="12.75" x14ac:dyDescent="0.2">
      <c r="A240" s="285" t="str">
        <f>IF(BB240=1,"Error. If this is a semi-annual report, this section should be blank.",IF(NOT(AND(A41="Looking good! Proceed to Part 1.",A121="",A153="Looking good! Proceed to Part 2.",A201="Looking good! Proceed to Part 3.")),"",IF(BB239=1,"",IF(AND(SUM(AM206:AM207)=0,SUM(AQ206:AR207)&gt;0),"Error. You have entered additional beneficiaries data, but your coversheet indicates that none of your households had additional beneficiaries. Please resolve this discrepancy.",IF(AZ206&gt;0,"Error. Your coversheet indicates that some of your households had additional beneficiaries. Please resolve this discrepancy.",IF(SUM(BA206:BA207)&gt;0,"Error. You've indicated this is not applicable, but you've entered additional beneficiaries data. Please resolve this discrepancy.",IF(AND(SUM(AM206:AM207)&gt;1,MIN(AQ206:AQ207)=0),"Select whether additional beneficiaries data is applicable.",IF(AND(SUM(AM206:AM207)&gt;1,SUM(AU206:AU207)&gt;0),"Enter the number of additional beneficiaries by HIV status served by any type of HOPWA activity.",IF(AT215=0,CONCATENATE("Enter the number of eligible individuals served by race, age, and gender by any HOPWA activity. Total must equal ",AQ215,". You've entered ",AR215,"."),IF(AU215=0,CONCATENATE("Enter the number of eligible individuals served by ethnicity by any HOPWA activity. Total must equal ",AQ215,". You've entered ",AS215,"."),IF(SUM(AY215:AY224)&gt;0,"Error. Total race must equal total ethnicity.",IF(AV218=1,"Error. You have entered additional beneficiaries data, but your coversheet indicates that none of your households had additional beneficiaries. Please resolve this discrepancy.",IF(AT218=0,CONCATENATE("Enter the number of additional beneficiaries served by race, age, and gender by any HOPWA activity. Total must equal ",AQ218,". You've entered ",AR218,"."),IF(AU218=0,CONCATENATE("Enter the number of additional beneficiaries served by ethnicity by any HOPWA activity category. Total must equal ",AQ218,". You've entered ",AS218,"."),IF(SUM(AY229:AY238)&gt;0,"Error. Total race must equal total ethnicity.","")))))))))))))))</f>
        <v/>
      </c>
      <c r="B240" s="285"/>
      <c r="C240" s="285"/>
      <c r="D240" s="285"/>
      <c r="E240" s="285"/>
      <c r="F240" s="285"/>
      <c r="G240" s="285"/>
      <c r="H240" s="285"/>
      <c r="I240" s="285"/>
      <c r="J240" s="285"/>
      <c r="K240" s="285"/>
      <c r="L240" s="285"/>
      <c r="M240" s="285"/>
      <c r="N240" s="285"/>
      <c r="O240" s="285"/>
      <c r="P240" s="285"/>
      <c r="Q240" s="285"/>
      <c r="R240" s="285"/>
      <c r="S240" s="285"/>
      <c r="T240" s="285"/>
      <c r="U240" s="285"/>
      <c r="V240" s="285"/>
      <c r="W240" s="285"/>
      <c r="X240" s="285"/>
      <c r="Y240" s="285"/>
      <c r="Z240" s="285"/>
      <c r="AA240" s="285"/>
      <c r="AB240" s="285"/>
      <c r="AC240" s="285"/>
      <c r="AD240" s="285"/>
      <c r="AE240" s="285"/>
      <c r="AF240" s="285"/>
      <c r="AG240" s="285"/>
      <c r="AH240" s="285"/>
      <c r="AI240" s="285"/>
      <c r="AJ240" s="285"/>
      <c r="AK240" s="285"/>
      <c r="AL240" s="285"/>
      <c r="AP240" s="212">
        <f>IF(BB239=1,1,IF(AND(A240="",SUM(AT206:AU207)=0,SUM(AZ206:BA207)=0,SUM(AR215:AS215)&gt;0,SUM(AT215:AU215)=2,SUM(AT218:AU218)=2,AV218=0,SUM(AY215:AY238)=0),1,0))</f>
        <v>0</v>
      </c>
      <c r="BA240" s="145" t="s">
        <v>512</v>
      </c>
      <c r="BB240" s="163">
        <f>IF(AND($AV$23=1,(SUM(AQ206:AR207)+SUM(AR215:AS215)+SUM(AR218:AS218))&gt;0),1,0)</f>
        <v>0</v>
      </c>
    </row>
    <row r="241" spans="1:51" ht="12.75" x14ac:dyDescent="0.2">
      <c r="A241" s="73" t="s">
        <v>198</v>
      </c>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c r="AB241" s="170"/>
      <c r="AC241" s="170"/>
      <c r="AD241" s="170"/>
      <c r="AE241" s="170"/>
      <c r="AF241" s="170"/>
      <c r="AG241" s="192"/>
      <c r="AH241" s="192"/>
      <c r="AI241" s="192"/>
      <c r="AJ241" s="192"/>
      <c r="AK241" s="192"/>
      <c r="AL241" s="192"/>
    </row>
    <row r="242" spans="1:51" s="4" customFormat="1" ht="11.25" x14ac:dyDescent="0.2">
      <c r="A242" s="74" t="s">
        <v>58</v>
      </c>
      <c r="B242" s="74" t="s">
        <v>58</v>
      </c>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9"/>
    </row>
    <row r="243" spans="1:51" s="4" customFormat="1" ht="11.25" x14ac:dyDescent="0.2">
      <c r="A243" s="21" t="s">
        <v>59</v>
      </c>
      <c r="B243" s="21"/>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30"/>
      <c r="AM243" s="4" t="s">
        <v>375</v>
      </c>
      <c r="AV243" s="53" t="s">
        <v>391</v>
      </c>
      <c r="AW243" s="53" t="s">
        <v>108</v>
      </c>
      <c r="AX243" s="53" t="s">
        <v>395</v>
      </c>
      <c r="AY243" s="53" t="s">
        <v>373</v>
      </c>
    </row>
    <row r="244" spans="1:51" s="4" customFormat="1" ht="11.25" x14ac:dyDescent="0.2">
      <c r="A244" s="173">
        <v>1</v>
      </c>
      <c r="B244" s="174" t="s">
        <v>199</v>
      </c>
      <c r="C244" s="174"/>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c r="AE244" s="174"/>
      <c r="AF244" s="174"/>
      <c r="AG244" s="293">
        <v>0</v>
      </c>
      <c r="AH244" s="294"/>
      <c r="AI244" s="294"/>
      <c r="AJ244" s="294"/>
      <c r="AK244" s="294"/>
      <c r="AL244" s="295"/>
      <c r="AM244" s="143">
        <f>IF(OR(AQ26=1,AQ28=1,AQ29=1),1,0)</f>
        <v>0</v>
      </c>
      <c r="AV244" s="4">
        <f>AG188</f>
        <v>0</v>
      </c>
      <c r="AW244" s="4">
        <f>SUM(AG244)+SUM(AG246:AL248)+SUM(AG250:AL261)</f>
        <v>0</v>
      </c>
      <c r="AX244" s="53">
        <f>IF(AV244=AW244,1,0)</f>
        <v>1</v>
      </c>
      <c r="AY244" s="4">
        <f>IF(AND(AM244=0,OR(AV244&gt;0,AW244&gt;0,SUM(AQ267:AR268)&gt;0)),1,0)</f>
        <v>0</v>
      </c>
    </row>
    <row r="245" spans="1:51" s="4" customFormat="1" ht="11.25" x14ac:dyDescent="0.2">
      <c r="A245" s="26" t="s">
        <v>60</v>
      </c>
      <c r="B245" s="26"/>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31"/>
    </row>
    <row r="246" spans="1:51" s="4" customFormat="1" ht="11.25" x14ac:dyDescent="0.2">
      <c r="A246" s="173">
        <v>2</v>
      </c>
      <c r="B246" s="174" t="s">
        <v>200</v>
      </c>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293">
        <v>0</v>
      </c>
      <c r="AH246" s="294"/>
      <c r="AI246" s="294"/>
      <c r="AJ246" s="294"/>
      <c r="AK246" s="294"/>
      <c r="AL246" s="295"/>
    </row>
    <row r="247" spans="1:51" s="4" customFormat="1" ht="11.25" x14ac:dyDescent="0.2">
      <c r="A247" s="173">
        <v>3</v>
      </c>
      <c r="B247" s="174" t="s">
        <v>201</v>
      </c>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c r="AG247" s="293">
        <v>0</v>
      </c>
      <c r="AH247" s="294"/>
      <c r="AI247" s="294"/>
      <c r="AJ247" s="294"/>
      <c r="AK247" s="294"/>
      <c r="AL247" s="295"/>
    </row>
    <row r="248" spans="1:51" s="4" customFormat="1" ht="11.25" x14ac:dyDescent="0.2">
      <c r="A248" s="173">
        <v>4</v>
      </c>
      <c r="B248" s="174" t="s">
        <v>202</v>
      </c>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c r="AG248" s="293">
        <v>0</v>
      </c>
      <c r="AH248" s="294"/>
      <c r="AI248" s="294"/>
      <c r="AJ248" s="294"/>
      <c r="AK248" s="294"/>
      <c r="AL248" s="295"/>
    </row>
    <row r="249" spans="1:51" s="4" customFormat="1" ht="11.25" x14ac:dyDescent="0.2">
      <c r="A249" s="182">
        <v>5</v>
      </c>
      <c r="B249" s="183" t="s">
        <v>65</v>
      </c>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333">
        <f>SUM(AG246:AL248)</f>
        <v>0</v>
      </c>
      <c r="AH249" s="334"/>
      <c r="AI249" s="334"/>
      <c r="AJ249" s="334"/>
      <c r="AK249" s="334"/>
      <c r="AL249" s="335"/>
    </row>
    <row r="250" spans="1:51" s="4" customFormat="1" ht="11.25" x14ac:dyDescent="0.2">
      <c r="A250" s="177">
        <v>6</v>
      </c>
      <c r="B250" s="178" t="s">
        <v>203</v>
      </c>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293">
        <v>0</v>
      </c>
      <c r="AH250" s="294"/>
      <c r="AI250" s="294"/>
      <c r="AJ250" s="294"/>
      <c r="AK250" s="294"/>
      <c r="AL250" s="295"/>
    </row>
    <row r="251" spans="1:51" s="4" customFormat="1" ht="11.25" x14ac:dyDescent="0.2">
      <c r="A251" s="173">
        <v>7</v>
      </c>
      <c r="B251" s="174" t="s">
        <v>61</v>
      </c>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293">
        <v>0</v>
      </c>
      <c r="AH251" s="294"/>
      <c r="AI251" s="294"/>
      <c r="AJ251" s="294"/>
      <c r="AK251" s="294"/>
      <c r="AL251" s="295"/>
    </row>
    <row r="252" spans="1:51" s="4" customFormat="1" ht="11.25" x14ac:dyDescent="0.2">
      <c r="A252" s="173">
        <v>8</v>
      </c>
      <c r="B252" s="174" t="s">
        <v>204</v>
      </c>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293">
        <v>0</v>
      </c>
      <c r="AH252" s="294"/>
      <c r="AI252" s="294"/>
      <c r="AJ252" s="294"/>
      <c r="AK252" s="294"/>
      <c r="AL252" s="295"/>
    </row>
    <row r="253" spans="1:51" s="4" customFormat="1" ht="11.25" x14ac:dyDescent="0.2">
      <c r="A253" s="173">
        <v>9</v>
      </c>
      <c r="B253" s="174" t="s">
        <v>205</v>
      </c>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293">
        <v>0</v>
      </c>
      <c r="AH253" s="294"/>
      <c r="AI253" s="294"/>
      <c r="AJ253" s="294"/>
      <c r="AK253" s="294"/>
      <c r="AL253" s="295"/>
      <c r="AO253" s="4" t="s">
        <v>510</v>
      </c>
    </row>
    <row r="254" spans="1:51" s="4" customFormat="1" ht="11.25" x14ac:dyDescent="0.2">
      <c r="A254" s="173">
        <v>10</v>
      </c>
      <c r="B254" s="174" t="s">
        <v>206</v>
      </c>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293">
        <v>0</v>
      </c>
      <c r="AH254" s="294"/>
      <c r="AI254" s="294"/>
      <c r="AJ254" s="294"/>
      <c r="AK254" s="294"/>
      <c r="AL254" s="295"/>
      <c r="AN254" s="4" t="s">
        <v>93</v>
      </c>
      <c r="AO254" s="4">
        <f>IF(A270=CONCATENATE("Enter the number of eligible individuals by prior living situation who received TBRA, FBHA, and/or PHP only (not STRMU). Total must equal ",AV244,". You've entered ",AW244,"."),1,0)</f>
        <v>0</v>
      </c>
    </row>
    <row r="255" spans="1:51" s="4" customFormat="1" ht="11.25" x14ac:dyDescent="0.2">
      <c r="A255" s="173">
        <v>11</v>
      </c>
      <c r="B255" s="174" t="s">
        <v>207</v>
      </c>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293">
        <v>0</v>
      </c>
      <c r="AH255" s="294"/>
      <c r="AI255" s="294"/>
      <c r="AJ255" s="294"/>
      <c r="AK255" s="294"/>
      <c r="AL255" s="295"/>
    </row>
    <row r="256" spans="1:51" s="4" customFormat="1" ht="11.25" x14ac:dyDescent="0.2">
      <c r="A256" s="173">
        <v>12</v>
      </c>
      <c r="B256" s="174" t="s">
        <v>62</v>
      </c>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293">
        <v>0</v>
      </c>
      <c r="AH256" s="294"/>
      <c r="AI256" s="294"/>
      <c r="AJ256" s="294"/>
      <c r="AK256" s="294"/>
      <c r="AL256" s="295"/>
    </row>
    <row r="257" spans="1:54" s="4" customFormat="1" ht="11.25" x14ac:dyDescent="0.2">
      <c r="A257" s="173">
        <v>13</v>
      </c>
      <c r="B257" s="174" t="s">
        <v>208</v>
      </c>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293">
        <v>0</v>
      </c>
      <c r="AH257" s="294"/>
      <c r="AI257" s="294"/>
      <c r="AJ257" s="294"/>
      <c r="AK257" s="294"/>
      <c r="AL257" s="295"/>
    </row>
    <row r="258" spans="1:54" s="4" customFormat="1" ht="11.25" x14ac:dyDescent="0.2">
      <c r="A258" s="173">
        <v>14</v>
      </c>
      <c r="B258" s="174" t="s">
        <v>63</v>
      </c>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293">
        <v>0</v>
      </c>
      <c r="AH258" s="294"/>
      <c r="AI258" s="294"/>
      <c r="AJ258" s="294"/>
      <c r="AK258" s="294"/>
      <c r="AL258" s="295"/>
    </row>
    <row r="259" spans="1:54" s="4" customFormat="1" ht="11.25" x14ac:dyDescent="0.2">
      <c r="A259" s="173">
        <v>15</v>
      </c>
      <c r="B259" s="174" t="s">
        <v>496</v>
      </c>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293">
        <v>0</v>
      </c>
      <c r="AH259" s="294"/>
      <c r="AI259" s="294"/>
      <c r="AJ259" s="294"/>
      <c r="AK259" s="294"/>
      <c r="AL259" s="295"/>
    </row>
    <row r="260" spans="1:54" s="4" customFormat="1" ht="11.25" x14ac:dyDescent="0.2">
      <c r="A260" s="173">
        <v>16</v>
      </c>
      <c r="B260" s="174" t="s">
        <v>64</v>
      </c>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293">
        <v>0</v>
      </c>
      <c r="AH260" s="294"/>
      <c r="AI260" s="294"/>
      <c r="AJ260" s="294"/>
      <c r="AK260" s="294"/>
      <c r="AL260" s="295"/>
    </row>
    <row r="261" spans="1:54" s="4" customFormat="1" ht="11.25" x14ac:dyDescent="0.2">
      <c r="A261" s="32">
        <v>17</v>
      </c>
      <c r="B261" s="57" t="s">
        <v>209</v>
      </c>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293">
        <v>0</v>
      </c>
      <c r="AH261" s="294"/>
      <c r="AI261" s="294"/>
      <c r="AJ261" s="294"/>
      <c r="AK261" s="294"/>
      <c r="AL261" s="295"/>
    </row>
    <row r="262" spans="1:54" s="4" customFormat="1" ht="11.25" x14ac:dyDescent="0.2">
      <c r="A262" s="182">
        <v>18</v>
      </c>
      <c r="B262" s="183" t="s">
        <v>66</v>
      </c>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333">
        <f>SUM(AG250:AL261)</f>
        <v>0</v>
      </c>
      <c r="AH262" s="334"/>
      <c r="AI262" s="334"/>
      <c r="AJ262" s="334"/>
      <c r="AK262" s="334"/>
      <c r="AL262" s="335"/>
    </row>
    <row r="263" spans="1:54" s="4" customFormat="1" ht="11.25" x14ac:dyDescent="0.2">
      <c r="A263" s="182">
        <v>19</v>
      </c>
      <c r="B263" s="183" t="s">
        <v>107</v>
      </c>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365">
        <f>AG188</f>
        <v>0</v>
      </c>
      <c r="AH263" s="366"/>
      <c r="AI263" s="366"/>
      <c r="AJ263" s="366"/>
      <c r="AK263" s="366"/>
      <c r="AL263" s="367"/>
    </row>
    <row r="264" spans="1:54" s="4" customFormat="1" ht="11.25" x14ac:dyDescent="0.2">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219"/>
      <c r="AH264" s="219"/>
      <c r="AI264" s="219"/>
      <c r="AJ264" s="219"/>
      <c r="AK264" s="219"/>
      <c r="AL264" s="219"/>
    </row>
    <row r="265" spans="1:54" ht="12.75" x14ac:dyDescent="0.2">
      <c r="A265" s="1" t="s">
        <v>210</v>
      </c>
      <c r="B265" s="90"/>
      <c r="AG265" s="192"/>
      <c r="AH265" s="192"/>
      <c r="AI265" s="192"/>
      <c r="AJ265" s="192"/>
      <c r="AK265" s="192"/>
      <c r="AL265" s="192"/>
      <c r="AO265" s="1" t="str">
        <f>IF(SUM(AG244+AG249+AG262)&lt;&gt;AG263,"The sum of Rows 1, 5, &amp; 18 do not not equal red cell.","")</f>
        <v/>
      </c>
    </row>
    <row r="266" spans="1:54" s="4" customFormat="1" ht="11.25" x14ac:dyDescent="0.2">
      <c r="A266" s="56" t="s">
        <v>67</v>
      </c>
      <c r="B266" s="74"/>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326" t="s">
        <v>375</v>
      </c>
      <c r="AE266" s="326"/>
      <c r="AF266" s="326"/>
      <c r="AG266" s="28"/>
      <c r="AH266" s="28"/>
      <c r="AI266" s="28"/>
      <c r="AJ266" s="28"/>
      <c r="AK266" s="28"/>
      <c r="AL266" s="29"/>
      <c r="AM266" s="4" t="s">
        <v>375</v>
      </c>
      <c r="AR266" s="53" t="s">
        <v>366</v>
      </c>
      <c r="AU266" s="53" t="s">
        <v>363</v>
      </c>
      <c r="AV266" s="53" t="s">
        <v>398</v>
      </c>
      <c r="AW266" s="53" t="s">
        <v>93</v>
      </c>
      <c r="AX266" s="53"/>
      <c r="AY266" s="53"/>
      <c r="AZ266" s="151" t="s">
        <v>399</v>
      </c>
      <c r="BA266" s="109" t="s">
        <v>410</v>
      </c>
    </row>
    <row r="267" spans="1:54" s="4" customFormat="1" ht="11.25" x14ac:dyDescent="0.2">
      <c r="A267" s="173">
        <v>1</v>
      </c>
      <c r="B267" s="174" t="s">
        <v>69</v>
      </c>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319"/>
      <c r="AE267" s="320"/>
      <c r="AF267" s="321"/>
      <c r="AG267" s="293">
        <v>0</v>
      </c>
      <c r="AH267" s="294"/>
      <c r="AI267" s="294"/>
      <c r="AJ267" s="294"/>
      <c r="AK267" s="294"/>
      <c r="AL267" s="295"/>
      <c r="AM267" s="143">
        <f>IF(AND(AM244=1,AG249&gt;0),1,0)</f>
        <v>0</v>
      </c>
      <c r="AQ267" s="142">
        <f>IF(AD267=0,0,1)</f>
        <v>0</v>
      </c>
      <c r="AR267" s="142">
        <f>IF(AG267=0,0,1)</f>
        <v>0</v>
      </c>
      <c r="AT267" s="137">
        <f>IF(AND(SUM(AQ267:AR267)&gt;0,AQ267=0),1,0)</f>
        <v>0</v>
      </c>
      <c r="AU267" s="137">
        <f>IF(AND(SUM(AQ267:AR267)&gt;0,AR267=0,AD267="Yes"),1,0)</f>
        <v>0</v>
      </c>
      <c r="AV267" s="4">
        <f>AG249</f>
        <v>0</v>
      </c>
      <c r="AW267" s="4">
        <f>AG267</f>
        <v>0</v>
      </c>
      <c r="AZ267" s="4">
        <f>IF(AW267&gt;AV267,1,0)</f>
        <v>0</v>
      </c>
      <c r="BA267" s="4">
        <f>IF(AND(AD267="No",AR267&gt;0),1,0)</f>
        <v>0</v>
      </c>
    </row>
    <row r="268" spans="1:54" s="4" customFormat="1" ht="11.25" x14ac:dyDescent="0.2">
      <c r="A268" s="173">
        <v>2</v>
      </c>
      <c r="B268" s="174" t="s">
        <v>68</v>
      </c>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319"/>
      <c r="AE268" s="320"/>
      <c r="AF268" s="321"/>
      <c r="AG268" s="293">
        <v>0</v>
      </c>
      <c r="AH268" s="294"/>
      <c r="AI268" s="294"/>
      <c r="AJ268" s="294"/>
      <c r="AK268" s="294"/>
      <c r="AL268" s="295"/>
      <c r="AM268" s="143">
        <f>IF(AND(AM244=1,AG249&gt;0),1,0)</f>
        <v>0</v>
      </c>
      <c r="AQ268" s="142">
        <f>IF(AD268=0,0,1)</f>
        <v>0</v>
      </c>
      <c r="AR268" s="142">
        <f>IF(AG268=0,0,1)</f>
        <v>0</v>
      </c>
      <c r="AT268" s="137">
        <f>IF(AND(SUM(AQ268:AR268)&gt;0,AQ268=0),1,0)</f>
        <v>0</v>
      </c>
      <c r="AU268" s="137">
        <f>IF(AND(SUM(AQ268:AR268)&gt;0,AR268=0,AD268="Yes"),1,0)</f>
        <v>0</v>
      </c>
      <c r="AW268" s="4">
        <f>AG268</f>
        <v>0</v>
      </c>
      <c r="AZ268" s="4">
        <f>IF(AW268&gt;AV267,1,0)</f>
        <v>0</v>
      </c>
      <c r="BA268" s="4">
        <f>IF(AND(AD268="No",AR268&gt;0),1,0)</f>
        <v>0</v>
      </c>
    </row>
    <row r="269" spans="1:54" s="4" customFormat="1" ht="11.25" x14ac:dyDescent="0.2">
      <c r="A269" s="146"/>
      <c r="B269" s="146"/>
      <c r="C269" s="146"/>
      <c r="D269" s="146"/>
      <c r="E269" s="146"/>
      <c r="F269" s="146"/>
      <c r="G269" s="146"/>
      <c r="H269" s="146"/>
      <c r="I269" s="146"/>
      <c r="J269" s="146"/>
      <c r="K269" s="146"/>
      <c r="L269" s="146"/>
      <c r="M269" s="146"/>
      <c r="N269" s="146"/>
      <c r="O269" s="146"/>
      <c r="P269" s="146"/>
      <c r="Q269" s="52"/>
      <c r="R269" s="52"/>
      <c r="S269" s="52"/>
      <c r="T269" s="52"/>
      <c r="U269" s="52"/>
      <c r="V269" s="52"/>
      <c r="W269" s="146"/>
      <c r="X269" s="146"/>
      <c r="Y269" s="146"/>
      <c r="Z269" s="146"/>
      <c r="AA269" s="146"/>
      <c r="AB269" s="146"/>
      <c r="AC269" s="146"/>
      <c r="AD269" s="146"/>
      <c r="AE269" s="146"/>
      <c r="AF269" s="146"/>
      <c r="AG269" s="146"/>
      <c r="AH269" s="146"/>
      <c r="AI269" s="146"/>
      <c r="AJ269" s="146"/>
      <c r="AK269" s="146"/>
      <c r="AL269" s="146"/>
      <c r="AP269" s="53" t="s">
        <v>365</v>
      </c>
      <c r="BA269" s="52" t="s">
        <v>511</v>
      </c>
      <c r="BB269" s="52">
        <f>$AQ$23</f>
        <v>0</v>
      </c>
    </row>
    <row r="270" spans="1:54" ht="12.75" x14ac:dyDescent="0.2">
      <c r="A270" s="401" t="str">
        <f>IF(BB270=1,"Error. If this is a semi-annual report, this section should be blank.",IF(NOT(AND(A41="Looking good! Proceed to Part 1.",A121="",A153="Looking good! Proceed to Part 2.",A201="Looking good! Proceed to Part 3.",A240="")),"",IF(BB269=1,"",IF(AY244&gt;0,"Error. You have entered prior living situation data, but you did not select TBRA, FBHA, and/or PHP activities on your coversheet. Please resolve this discrepancy.",IF(AX244=0,CONCATENATE("Enter the number of eligible individuals by prior living situation who received TBRA, FBHA, and/or PHP only (not STRMU). Total must equal ",AV244,". You've entered ",AW244,"."),IF(AND(SUM(AM267:AM268)=0,AV267=0,SUM(AQ267:AR268)&gt;0),"Error. You have entered homeless individuals data, but none of the eligible individuals had a homeless prior living situation. Please resolve this discrepancy.",IF(SUM(BA267:BA268)&gt;0,"Error. You've indicated this is not applicable, but you've entered homeless individuals data. Please resolve this discrepancy.",IF(AND(AV267&gt;0,MIN(AQ267:AQ268)=0),"Select whether homeless individuals data is applicable.",IF(AND(AV267&gt;0,SUM(AU267:AU268)&gt;0),"Enter the number of households that met the criteria for each homeless individuals category.",IF(AZ267=1,CONCATENATE("Error. Chronically homeless persons cannot exceed ",AV267,". You've entered ",AW267,"."),IF(AZ268=1,CONCATENATE("Error. Homeless veterans cannot exceed ",AV267,". You've entered ",AW268,"."),"Looking good! Proceed to Part 4.")))))))))))</f>
        <v/>
      </c>
      <c r="B270" s="401"/>
      <c r="C270" s="401"/>
      <c r="D270" s="401"/>
      <c r="E270" s="401"/>
      <c r="F270" s="401"/>
      <c r="G270" s="401"/>
      <c r="H270" s="401"/>
      <c r="I270" s="401"/>
      <c r="J270" s="401"/>
      <c r="K270" s="401"/>
      <c r="L270" s="401"/>
      <c r="M270" s="401"/>
      <c r="N270" s="401"/>
      <c r="O270" s="401"/>
      <c r="P270" s="401"/>
      <c r="Q270" s="401"/>
      <c r="R270" s="401"/>
      <c r="S270" s="401"/>
      <c r="T270" s="401"/>
      <c r="U270" s="401"/>
      <c r="V270" s="401"/>
      <c r="W270" s="401"/>
      <c r="X270" s="401"/>
      <c r="Y270" s="401"/>
      <c r="Z270" s="401"/>
      <c r="AA270" s="401"/>
      <c r="AB270" s="401"/>
      <c r="AC270" s="401"/>
      <c r="AD270" s="401"/>
      <c r="AE270" s="401"/>
      <c r="AF270" s="401"/>
      <c r="AG270" s="401"/>
      <c r="AH270" s="401"/>
      <c r="AI270" s="401"/>
      <c r="AJ270" s="401"/>
      <c r="AK270" s="401"/>
      <c r="AL270" s="401"/>
      <c r="AP270" s="212">
        <f>IF(BB269=1,1,IF(AND(A270="Looking good! Proceed to Part 4.",AX244&gt;0,AY244=0,SUM(AT267:AU268)=0,SUM(AZ267:BA268)=0),1,0))</f>
        <v>0</v>
      </c>
      <c r="BA270" s="1" t="s">
        <v>512</v>
      </c>
      <c r="BB270" s="163">
        <f>IF(AND($AV$23=1,(SUM(AW244)+SUM(AQ267:AR268))&gt;0),1,0)</f>
        <v>0</v>
      </c>
    </row>
    <row r="271" spans="1:54" s="2" customFormat="1" ht="15.75" x14ac:dyDescent="0.25">
      <c r="A271" s="19" t="s">
        <v>27</v>
      </c>
      <c r="B271" s="19"/>
      <c r="C271" s="20">
        <v>4</v>
      </c>
      <c r="D271" s="11" t="s">
        <v>359</v>
      </c>
      <c r="S271" s="166" t="str">
        <f>IF($AQ$23=1,"- Not applicable -","")</f>
        <v/>
      </c>
      <c r="AM271" s="1"/>
    </row>
    <row r="272" spans="1:54" ht="12.75" x14ac:dyDescent="0.2">
      <c r="A272" s="396" t="s">
        <v>532</v>
      </c>
      <c r="B272" s="396"/>
      <c r="C272" s="396"/>
      <c r="D272" s="396"/>
      <c r="E272" s="396"/>
      <c r="F272" s="396"/>
      <c r="G272" s="396"/>
      <c r="H272" s="396"/>
      <c r="I272" s="396"/>
      <c r="J272" s="396"/>
      <c r="K272" s="396"/>
      <c r="L272" s="396"/>
      <c r="M272" s="396"/>
      <c r="N272" s="396"/>
      <c r="O272" s="396"/>
      <c r="P272" s="396"/>
      <c r="Q272" s="396"/>
      <c r="R272" s="396"/>
      <c r="S272" s="396"/>
      <c r="T272" s="396"/>
      <c r="U272" s="396"/>
      <c r="V272" s="396"/>
      <c r="W272" s="396"/>
      <c r="X272" s="396"/>
      <c r="Y272" s="396"/>
      <c r="Z272" s="396"/>
      <c r="AA272" s="396"/>
      <c r="AB272" s="396"/>
      <c r="AC272" s="396"/>
      <c r="AD272" s="396"/>
      <c r="AE272" s="396"/>
      <c r="AF272" s="396"/>
      <c r="AG272" s="396"/>
      <c r="AH272" s="396"/>
      <c r="AI272" s="396"/>
      <c r="AJ272" s="396"/>
      <c r="AK272" s="396"/>
      <c r="AL272" s="400"/>
    </row>
    <row r="273" spans="1:55" ht="12.75" x14ac:dyDescent="0.2">
      <c r="A273" s="396"/>
      <c r="B273" s="396"/>
      <c r="C273" s="396"/>
      <c r="D273" s="396"/>
      <c r="E273" s="396"/>
      <c r="F273" s="396"/>
      <c r="G273" s="396"/>
      <c r="H273" s="396"/>
      <c r="I273" s="396"/>
      <c r="J273" s="396"/>
      <c r="K273" s="396"/>
      <c r="L273" s="396"/>
      <c r="M273" s="396"/>
      <c r="N273" s="396"/>
      <c r="O273" s="396"/>
      <c r="P273" s="396"/>
      <c r="Q273" s="396"/>
      <c r="R273" s="396"/>
      <c r="S273" s="396"/>
      <c r="T273" s="396"/>
      <c r="U273" s="396"/>
      <c r="V273" s="396"/>
      <c r="W273" s="396"/>
      <c r="X273" s="396"/>
      <c r="Y273" s="396"/>
      <c r="Z273" s="396"/>
      <c r="AA273" s="396"/>
      <c r="AB273" s="396"/>
      <c r="AC273" s="396"/>
      <c r="AD273" s="396"/>
      <c r="AE273" s="396"/>
      <c r="AF273" s="396"/>
      <c r="AG273" s="396"/>
      <c r="AH273" s="396"/>
      <c r="AI273" s="396"/>
      <c r="AJ273" s="396"/>
      <c r="AK273" s="396"/>
      <c r="AL273" s="400"/>
    </row>
    <row r="274" spans="1:55" s="4" customFormat="1" ht="11.25" x14ac:dyDescent="0.2">
      <c r="A274" s="56" t="s">
        <v>222</v>
      </c>
      <c r="B274" s="74"/>
      <c r="C274" s="28"/>
      <c r="D274" s="28"/>
      <c r="E274" s="28"/>
      <c r="F274" s="28"/>
      <c r="G274" s="28"/>
      <c r="H274" s="28"/>
      <c r="I274" s="28"/>
      <c r="J274" s="28"/>
      <c r="K274" s="28"/>
      <c r="L274" s="28"/>
      <c r="M274" s="28"/>
      <c r="N274" s="28"/>
      <c r="O274" s="28"/>
      <c r="P274" s="28"/>
      <c r="Q274" s="28"/>
      <c r="R274" s="28"/>
      <c r="S274" s="28"/>
      <c r="T274" s="28"/>
      <c r="U274" s="80" t="s">
        <v>530</v>
      </c>
      <c r="V274" s="112"/>
      <c r="W274" s="112"/>
      <c r="X274" s="112"/>
      <c r="Y274" s="112"/>
      <c r="Z274" s="112"/>
      <c r="AA274" s="80" t="s">
        <v>86</v>
      </c>
      <c r="AB274" s="112"/>
      <c r="AC274" s="112"/>
      <c r="AD274" s="112"/>
      <c r="AE274" s="112"/>
      <c r="AF274" s="112"/>
      <c r="AG274" s="80" t="s">
        <v>218</v>
      </c>
      <c r="AH274" s="112"/>
      <c r="AI274" s="112"/>
      <c r="AJ274" s="112"/>
      <c r="AK274" s="112"/>
      <c r="AL274" s="113"/>
      <c r="AY274" s="53"/>
      <c r="AZ274" s="53" t="s">
        <v>371</v>
      </c>
      <c r="BA274" s="151" t="s">
        <v>406</v>
      </c>
    </row>
    <row r="275" spans="1:55" s="4" customFormat="1" ht="11.25" x14ac:dyDescent="0.2">
      <c r="A275" s="103" t="s">
        <v>225</v>
      </c>
      <c r="B275" s="99"/>
      <c r="C275" s="99"/>
      <c r="D275" s="99"/>
      <c r="E275" s="99"/>
      <c r="F275" s="99"/>
      <c r="G275" s="99"/>
      <c r="H275" s="99"/>
      <c r="I275" s="22"/>
      <c r="J275" s="99"/>
      <c r="K275" s="99"/>
      <c r="L275" s="99"/>
      <c r="M275" s="99"/>
      <c r="N275" s="99"/>
      <c r="O275" s="99"/>
      <c r="P275" s="99"/>
      <c r="Q275" s="22"/>
      <c r="R275" s="22"/>
      <c r="S275" s="22"/>
      <c r="T275" s="22"/>
      <c r="U275" s="22"/>
      <c r="V275" s="22"/>
      <c r="W275" s="22"/>
      <c r="X275" s="22"/>
      <c r="Y275" s="99"/>
      <c r="Z275" s="98"/>
      <c r="AA275" s="100"/>
      <c r="AB275" s="100"/>
      <c r="AC275" s="100"/>
      <c r="AD275" s="100"/>
      <c r="AE275" s="67"/>
      <c r="AF275" s="96"/>
      <c r="AG275" s="96"/>
      <c r="AH275" s="96"/>
      <c r="AI275" s="96"/>
      <c r="AJ275" s="96"/>
      <c r="AK275" s="96"/>
      <c r="AL275" s="97"/>
      <c r="AM275" s="4" t="s">
        <v>375</v>
      </c>
      <c r="AR275" s="53" t="s">
        <v>366</v>
      </c>
      <c r="AS275" s="10"/>
      <c r="AT275" s="53" t="s">
        <v>350</v>
      </c>
      <c r="AU275" s="10"/>
      <c r="AX275" s="53" t="s">
        <v>363</v>
      </c>
      <c r="AY275" s="53"/>
      <c r="AZ275" s="53" t="s">
        <v>362</v>
      </c>
      <c r="BA275" s="53" t="s">
        <v>362</v>
      </c>
      <c r="BC275" s="120"/>
    </row>
    <row r="276" spans="1:55" s="4" customFormat="1" ht="11.25" x14ac:dyDescent="0.2">
      <c r="A276" s="37">
        <v>1</v>
      </c>
      <c r="B276" s="95" t="s">
        <v>85</v>
      </c>
      <c r="C276" s="174"/>
      <c r="D276" s="174"/>
      <c r="E276" s="174"/>
      <c r="F276" s="174"/>
      <c r="G276" s="174"/>
      <c r="H276" s="174"/>
      <c r="I276" s="220"/>
      <c r="J276" s="220"/>
      <c r="K276" s="220"/>
      <c r="L276" s="220"/>
      <c r="M276" s="220"/>
      <c r="N276" s="220"/>
      <c r="O276" s="220"/>
      <c r="P276" s="220"/>
      <c r="Q276" s="174"/>
      <c r="R276" s="174"/>
      <c r="S276" s="174"/>
      <c r="T276" s="174"/>
      <c r="U276" s="174"/>
      <c r="V276" s="174"/>
      <c r="W276" s="174"/>
      <c r="X276" s="174"/>
      <c r="Y276" s="95"/>
      <c r="Z276" s="95"/>
      <c r="AA276" s="290">
        <v>0</v>
      </c>
      <c r="AB276" s="290"/>
      <c r="AC276" s="290"/>
      <c r="AD276" s="290"/>
      <c r="AE276" s="290"/>
      <c r="AF276" s="290"/>
      <c r="AG276" s="296"/>
      <c r="AH276" s="296"/>
      <c r="AI276" s="296"/>
      <c r="AJ276" s="296"/>
      <c r="AK276" s="296"/>
      <c r="AL276" s="296"/>
      <c r="AM276" s="143">
        <f>IF(AJ36="Yes",1,0)</f>
        <v>0</v>
      </c>
      <c r="AO276" s="10"/>
      <c r="AP276" s="142"/>
      <c r="AQ276" s="142">
        <f>IF(AA276=0,0,1)</f>
        <v>0</v>
      </c>
      <c r="AR276" s="142">
        <f>IF(AG276=0,0,1)</f>
        <v>0</v>
      </c>
      <c r="AS276" s="10"/>
      <c r="AT276" s="127">
        <f>IF(AND($AM$276=1,MIN(AQ276:AR276)=0),0,1)</f>
        <v>1</v>
      </c>
      <c r="AU276" s="10"/>
      <c r="AV276" s="137"/>
      <c r="AW276" s="137">
        <f>IF(AND(SUM(AP276:AR276)&gt;0,AQ276=0),1,0)</f>
        <v>0</v>
      </c>
      <c r="AX276" s="137">
        <f>IF(AND(SUM(AP276:AR276)&gt;0,AR276=0),1,0)</f>
        <v>0</v>
      </c>
      <c r="AZ276" s="4">
        <f>IF(AND(AM276=0,SUM(AP276:AR289)&gt;0),1,0)</f>
        <v>0</v>
      </c>
      <c r="BA276" s="4">
        <f>IF(AND(AM292=1,AM296=1,AA294&lt;&gt;AA298),1,0)</f>
        <v>0</v>
      </c>
      <c r="BC276" s="121"/>
    </row>
    <row r="277" spans="1:55" s="4" customFormat="1" ht="11.25" x14ac:dyDescent="0.2">
      <c r="A277" s="37">
        <v>2</v>
      </c>
      <c r="B277" s="95" t="s">
        <v>84</v>
      </c>
      <c r="C277" s="174"/>
      <c r="D277" s="174"/>
      <c r="E277" s="174"/>
      <c r="F277" s="174"/>
      <c r="G277" s="174"/>
      <c r="H277" s="174"/>
      <c r="I277" s="220"/>
      <c r="J277" s="220"/>
      <c r="K277" s="220"/>
      <c r="L277" s="220"/>
      <c r="M277" s="220"/>
      <c r="N277" s="220"/>
      <c r="O277" s="220"/>
      <c r="P277" s="220"/>
      <c r="Q277" s="174"/>
      <c r="R277" s="174"/>
      <c r="S277" s="174"/>
      <c r="T277" s="174"/>
      <c r="U277" s="174"/>
      <c r="V277" s="174"/>
      <c r="W277" s="174"/>
      <c r="X277" s="174"/>
      <c r="Y277" s="95"/>
      <c r="Z277" s="95"/>
      <c r="AA277" s="290">
        <v>0</v>
      </c>
      <c r="AB277" s="290"/>
      <c r="AC277" s="290"/>
      <c r="AD277" s="290"/>
      <c r="AE277" s="290"/>
      <c r="AF277" s="290"/>
      <c r="AG277" s="296"/>
      <c r="AH277" s="296"/>
      <c r="AI277" s="296"/>
      <c r="AJ277" s="296"/>
      <c r="AK277" s="296"/>
      <c r="AL277" s="296"/>
      <c r="AP277" s="142"/>
      <c r="AQ277" s="142">
        <f t="shared" ref="AQ277:AQ289" si="33">IF(AA277=0,0,1)</f>
        <v>0</v>
      </c>
      <c r="AR277" s="142">
        <f t="shared" ref="AR277:AR289" si="34">IF(AG277=0,0,1)</f>
        <v>0</v>
      </c>
      <c r="AT277" s="127">
        <f t="shared" ref="AT277:AT284" si="35">IF(AND($AM$276=1,MIN(AQ277:AR277)=0),0,1)</f>
        <v>1</v>
      </c>
      <c r="AU277" s="120"/>
      <c r="AV277" s="137"/>
      <c r="AW277" s="137">
        <f t="shared" ref="AW277:AW289" si="36">IF(AND(SUM(AP277:AR277)&gt;0,AQ277=0),1,0)</f>
        <v>0</v>
      </c>
      <c r="AX277" s="137">
        <f t="shared" ref="AX277:AX289" si="37">IF(AND(SUM(AP277:AR277)&gt;0,AR277=0),1,0)</f>
        <v>0</v>
      </c>
      <c r="AY277" s="121"/>
      <c r="AZ277" s="121"/>
      <c r="BA277" s="121"/>
      <c r="BB277" s="121"/>
      <c r="BC277" s="121"/>
    </row>
    <row r="278" spans="1:55" s="4" customFormat="1" ht="11.25" x14ac:dyDescent="0.2">
      <c r="A278" s="37">
        <v>3</v>
      </c>
      <c r="B278" s="95" t="s">
        <v>211</v>
      </c>
      <c r="C278" s="174"/>
      <c r="D278" s="174"/>
      <c r="E278" s="174"/>
      <c r="F278" s="174"/>
      <c r="G278" s="174"/>
      <c r="H278" s="174"/>
      <c r="I278" s="220"/>
      <c r="J278" s="220"/>
      <c r="K278" s="220"/>
      <c r="L278" s="220"/>
      <c r="M278" s="220"/>
      <c r="N278" s="220"/>
      <c r="O278" s="220"/>
      <c r="P278" s="220"/>
      <c r="Q278" s="174"/>
      <c r="R278" s="174"/>
      <c r="S278" s="174"/>
      <c r="T278" s="174"/>
      <c r="U278" s="174"/>
      <c r="V278" s="174"/>
      <c r="W278" s="174"/>
      <c r="X278" s="174"/>
      <c r="Y278" s="95"/>
      <c r="Z278" s="95"/>
      <c r="AA278" s="290">
        <v>0</v>
      </c>
      <c r="AB278" s="290"/>
      <c r="AC278" s="290"/>
      <c r="AD278" s="290"/>
      <c r="AE278" s="290"/>
      <c r="AF278" s="290"/>
      <c r="AG278" s="296"/>
      <c r="AH278" s="296"/>
      <c r="AI278" s="296"/>
      <c r="AJ278" s="296"/>
      <c r="AK278" s="296"/>
      <c r="AL278" s="296"/>
      <c r="AM278" s="199" t="s">
        <v>221</v>
      </c>
      <c r="AP278" s="142"/>
      <c r="AQ278" s="142">
        <f t="shared" si="33"/>
        <v>0</v>
      </c>
      <c r="AR278" s="142">
        <f t="shared" si="34"/>
        <v>0</v>
      </c>
      <c r="AT278" s="127">
        <f t="shared" si="35"/>
        <v>1</v>
      </c>
      <c r="AU278" s="120"/>
      <c r="AV278" s="137"/>
      <c r="AW278" s="137">
        <f t="shared" si="36"/>
        <v>0</v>
      </c>
      <c r="AX278" s="137">
        <f t="shared" si="37"/>
        <v>0</v>
      </c>
      <c r="AY278" s="121"/>
      <c r="AZ278" s="121"/>
      <c r="BA278" s="121"/>
      <c r="BB278" s="121"/>
      <c r="BC278" s="121"/>
    </row>
    <row r="279" spans="1:55" s="4" customFormat="1" ht="11.25" x14ac:dyDescent="0.2">
      <c r="A279" s="37">
        <v>4</v>
      </c>
      <c r="B279" s="95" t="s">
        <v>212</v>
      </c>
      <c r="C279" s="174"/>
      <c r="D279" s="174"/>
      <c r="E279" s="174"/>
      <c r="F279" s="174"/>
      <c r="G279" s="174"/>
      <c r="H279" s="174"/>
      <c r="I279" s="220"/>
      <c r="J279" s="220"/>
      <c r="K279" s="220"/>
      <c r="L279" s="220"/>
      <c r="M279" s="220"/>
      <c r="N279" s="220"/>
      <c r="O279" s="220"/>
      <c r="P279" s="220"/>
      <c r="Q279" s="174"/>
      <c r="R279" s="174"/>
      <c r="S279" s="174"/>
      <c r="T279" s="174"/>
      <c r="U279" s="174"/>
      <c r="V279" s="174"/>
      <c r="W279" s="174"/>
      <c r="X279" s="174"/>
      <c r="Y279" s="95"/>
      <c r="Z279" s="95"/>
      <c r="AA279" s="290">
        <v>0</v>
      </c>
      <c r="AB279" s="290"/>
      <c r="AC279" s="290"/>
      <c r="AD279" s="290"/>
      <c r="AE279" s="290"/>
      <c r="AF279" s="290"/>
      <c r="AG279" s="296"/>
      <c r="AH279" s="296"/>
      <c r="AI279" s="296"/>
      <c r="AJ279" s="296"/>
      <c r="AK279" s="296"/>
      <c r="AL279" s="296"/>
      <c r="AM279" s="201"/>
      <c r="AP279" s="142"/>
      <c r="AQ279" s="142">
        <f t="shared" si="33"/>
        <v>0</v>
      </c>
      <c r="AR279" s="142">
        <f t="shared" si="34"/>
        <v>0</v>
      </c>
      <c r="AT279" s="127">
        <f t="shared" si="35"/>
        <v>1</v>
      </c>
      <c r="AU279" s="120"/>
      <c r="AV279" s="137"/>
      <c r="AW279" s="137">
        <f t="shared" si="36"/>
        <v>0</v>
      </c>
      <c r="AX279" s="137">
        <f t="shared" si="37"/>
        <v>0</v>
      </c>
      <c r="AY279" s="121"/>
      <c r="AZ279" s="121"/>
      <c r="BA279" s="121"/>
      <c r="BB279" s="121"/>
      <c r="BC279" s="121"/>
    </row>
    <row r="280" spans="1:55" s="4" customFormat="1" ht="11.25" x14ac:dyDescent="0.2">
      <c r="A280" s="37">
        <v>5</v>
      </c>
      <c r="B280" s="95" t="s">
        <v>213</v>
      </c>
      <c r="C280" s="174"/>
      <c r="D280" s="174"/>
      <c r="E280" s="174"/>
      <c r="F280" s="174"/>
      <c r="G280" s="174"/>
      <c r="H280" s="174"/>
      <c r="I280" s="220"/>
      <c r="J280" s="220"/>
      <c r="K280" s="220"/>
      <c r="L280" s="220"/>
      <c r="M280" s="220"/>
      <c r="N280" s="220"/>
      <c r="O280" s="220"/>
      <c r="P280" s="220"/>
      <c r="Q280" s="174"/>
      <c r="R280" s="174"/>
      <c r="S280" s="174"/>
      <c r="T280" s="174"/>
      <c r="U280" s="174"/>
      <c r="V280" s="174"/>
      <c r="W280" s="174"/>
      <c r="X280" s="174"/>
      <c r="Y280" s="95"/>
      <c r="Z280" s="95"/>
      <c r="AA280" s="290">
        <v>0</v>
      </c>
      <c r="AB280" s="290"/>
      <c r="AC280" s="290"/>
      <c r="AD280" s="290"/>
      <c r="AE280" s="290"/>
      <c r="AF280" s="290"/>
      <c r="AG280" s="296"/>
      <c r="AH280" s="296"/>
      <c r="AI280" s="296"/>
      <c r="AJ280" s="296"/>
      <c r="AK280" s="296"/>
      <c r="AL280" s="296"/>
      <c r="AM280" s="203" t="s">
        <v>219</v>
      </c>
      <c r="AP280" s="142"/>
      <c r="AQ280" s="142">
        <f t="shared" si="33"/>
        <v>0</v>
      </c>
      <c r="AR280" s="142">
        <f t="shared" si="34"/>
        <v>0</v>
      </c>
      <c r="AT280" s="127">
        <f t="shared" si="35"/>
        <v>1</v>
      </c>
      <c r="AU280" s="120"/>
      <c r="AV280" s="137"/>
      <c r="AW280" s="137">
        <f t="shared" si="36"/>
        <v>0</v>
      </c>
      <c r="AX280" s="137">
        <f t="shared" si="37"/>
        <v>0</v>
      </c>
      <c r="AY280" s="121"/>
      <c r="AZ280" s="121"/>
      <c r="BA280" s="121"/>
      <c r="BB280" s="121"/>
      <c r="BC280" s="121"/>
    </row>
    <row r="281" spans="1:55" s="4" customFormat="1" ht="11.25" x14ac:dyDescent="0.2">
      <c r="A281" s="37">
        <v>6</v>
      </c>
      <c r="B281" s="95" t="s">
        <v>83</v>
      </c>
      <c r="C281" s="174"/>
      <c r="D281" s="174"/>
      <c r="E281" s="174"/>
      <c r="F281" s="174"/>
      <c r="G281" s="174"/>
      <c r="H281" s="174"/>
      <c r="I281" s="220"/>
      <c r="J281" s="220"/>
      <c r="K281" s="220"/>
      <c r="L281" s="220"/>
      <c r="M281" s="220"/>
      <c r="N281" s="220"/>
      <c r="O281" s="220"/>
      <c r="P281" s="220"/>
      <c r="Q281" s="174"/>
      <c r="R281" s="174"/>
      <c r="S281" s="174"/>
      <c r="T281" s="174"/>
      <c r="U281" s="174"/>
      <c r="V281" s="174"/>
      <c r="W281" s="174"/>
      <c r="X281" s="174"/>
      <c r="Y281" s="95"/>
      <c r="Z281" s="95"/>
      <c r="AA281" s="290">
        <v>0</v>
      </c>
      <c r="AB281" s="290"/>
      <c r="AC281" s="290"/>
      <c r="AD281" s="290"/>
      <c r="AE281" s="290"/>
      <c r="AF281" s="290"/>
      <c r="AG281" s="296"/>
      <c r="AH281" s="296"/>
      <c r="AI281" s="296"/>
      <c r="AJ281" s="296"/>
      <c r="AK281" s="296"/>
      <c r="AL281" s="296"/>
      <c r="AM281" s="205" t="s">
        <v>220</v>
      </c>
      <c r="AP281" s="142"/>
      <c r="AQ281" s="142">
        <f t="shared" si="33"/>
        <v>0</v>
      </c>
      <c r="AR281" s="142">
        <f t="shared" si="34"/>
        <v>0</v>
      </c>
      <c r="AT281" s="127">
        <f t="shared" si="35"/>
        <v>1</v>
      </c>
      <c r="AU281" s="120"/>
      <c r="AV281" s="137"/>
      <c r="AW281" s="137">
        <f t="shared" si="36"/>
        <v>0</v>
      </c>
      <c r="AX281" s="137">
        <f t="shared" si="37"/>
        <v>0</v>
      </c>
      <c r="AY281" s="121"/>
      <c r="AZ281" s="121"/>
      <c r="BA281" s="121"/>
      <c r="BB281" s="121"/>
      <c r="BC281" s="121"/>
    </row>
    <row r="282" spans="1:55" s="4" customFormat="1" ht="11.25" x14ac:dyDescent="0.2">
      <c r="A282" s="37">
        <v>7</v>
      </c>
      <c r="B282" s="95" t="s">
        <v>214</v>
      </c>
      <c r="C282" s="174"/>
      <c r="D282" s="174"/>
      <c r="E282" s="174"/>
      <c r="F282" s="174"/>
      <c r="G282" s="174"/>
      <c r="H282" s="174"/>
      <c r="I282" s="220"/>
      <c r="J282" s="220"/>
      <c r="K282" s="220"/>
      <c r="L282" s="220"/>
      <c r="M282" s="220"/>
      <c r="N282" s="220"/>
      <c r="O282" s="220"/>
      <c r="P282" s="220"/>
      <c r="Q282" s="174"/>
      <c r="R282" s="174"/>
      <c r="S282" s="174"/>
      <c r="T282" s="174"/>
      <c r="U282" s="174"/>
      <c r="V282" s="174"/>
      <c r="W282" s="174"/>
      <c r="X282" s="174"/>
      <c r="Y282" s="95"/>
      <c r="Z282" s="95"/>
      <c r="AA282" s="290">
        <v>0</v>
      </c>
      <c r="AB282" s="290"/>
      <c r="AC282" s="290"/>
      <c r="AD282" s="290"/>
      <c r="AE282" s="290"/>
      <c r="AF282" s="290"/>
      <c r="AG282" s="296"/>
      <c r="AH282" s="296"/>
      <c r="AI282" s="296"/>
      <c r="AJ282" s="296"/>
      <c r="AK282" s="296"/>
      <c r="AL282" s="296"/>
      <c r="AP282" s="142"/>
      <c r="AQ282" s="142">
        <f t="shared" si="33"/>
        <v>0</v>
      </c>
      <c r="AR282" s="142">
        <f t="shared" si="34"/>
        <v>0</v>
      </c>
      <c r="AT282" s="127">
        <f t="shared" si="35"/>
        <v>1</v>
      </c>
      <c r="AU282" s="120"/>
      <c r="AV282" s="137"/>
      <c r="AW282" s="137">
        <f t="shared" si="36"/>
        <v>0</v>
      </c>
      <c r="AX282" s="137">
        <f t="shared" si="37"/>
        <v>0</v>
      </c>
      <c r="AY282" s="121"/>
      <c r="AZ282" s="121"/>
      <c r="BA282" s="121"/>
      <c r="BB282" s="121"/>
      <c r="BC282" s="121"/>
    </row>
    <row r="283" spans="1:55" s="4" customFormat="1" ht="11.25" x14ac:dyDescent="0.2">
      <c r="A283" s="37">
        <v>8</v>
      </c>
      <c r="B283" s="95" t="s">
        <v>215</v>
      </c>
      <c r="C283" s="95"/>
      <c r="D283" s="95"/>
      <c r="E283" s="95"/>
      <c r="F283" s="95"/>
      <c r="G283" s="95"/>
      <c r="H283" s="95"/>
      <c r="I283" s="220"/>
      <c r="J283" s="220"/>
      <c r="K283" s="220"/>
      <c r="L283" s="220"/>
      <c r="M283" s="220"/>
      <c r="N283" s="220"/>
      <c r="O283" s="220"/>
      <c r="P283" s="220"/>
      <c r="Q283" s="174"/>
      <c r="R283" s="174"/>
      <c r="S283" s="174"/>
      <c r="T283" s="174"/>
      <c r="U283" s="174"/>
      <c r="V283" s="174"/>
      <c r="W283" s="174"/>
      <c r="X283" s="174"/>
      <c r="Y283" s="95"/>
      <c r="Z283" s="95"/>
      <c r="AA283" s="290">
        <v>0</v>
      </c>
      <c r="AB283" s="290"/>
      <c r="AC283" s="290"/>
      <c r="AD283" s="290"/>
      <c r="AE283" s="290"/>
      <c r="AF283" s="290"/>
      <c r="AG283" s="296"/>
      <c r="AH283" s="296"/>
      <c r="AI283" s="296"/>
      <c r="AJ283" s="296"/>
      <c r="AK283" s="296"/>
      <c r="AL283" s="296"/>
      <c r="AP283" s="142"/>
      <c r="AQ283" s="142">
        <f t="shared" si="33"/>
        <v>0</v>
      </c>
      <c r="AR283" s="142">
        <f t="shared" si="34"/>
        <v>0</v>
      </c>
      <c r="AT283" s="127">
        <f t="shared" si="35"/>
        <v>1</v>
      </c>
      <c r="AU283" s="121"/>
      <c r="AV283" s="137"/>
      <c r="AW283" s="137">
        <f t="shared" si="36"/>
        <v>0</v>
      </c>
      <c r="AX283" s="137">
        <f t="shared" si="37"/>
        <v>0</v>
      </c>
      <c r="AY283" s="121"/>
      <c r="AZ283" s="121"/>
      <c r="BA283" s="121"/>
      <c r="BB283" s="121"/>
      <c r="BC283" s="121"/>
    </row>
    <row r="284" spans="1:55" s="4" customFormat="1" ht="11.25" x14ac:dyDescent="0.2">
      <c r="A284" s="37">
        <v>9</v>
      </c>
      <c r="B284" s="95" t="s">
        <v>216</v>
      </c>
      <c r="C284" s="174"/>
      <c r="D284" s="89"/>
      <c r="E284" s="89"/>
      <c r="F284" s="89"/>
      <c r="G284" s="89"/>
      <c r="H284" s="89"/>
      <c r="I284" s="220"/>
      <c r="J284" s="220"/>
      <c r="K284" s="220"/>
      <c r="L284" s="220"/>
      <c r="M284" s="220"/>
      <c r="N284" s="220"/>
      <c r="O284" s="220"/>
      <c r="P284" s="220"/>
      <c r="Q284" s="174"/>
      <c r="R284" s="174"/>
      <c r="S284" s="174"/>
      <c r="T284" s="174"/>
      <c r="U284" s="57"/>
      <c r="V284" s="57"/>
      <c r="W284" s="57"/>
      <c r="X284" s="57"/>
      <c r="Y284" s="221"/>
      <c r="Z284" s="221"/>
      <c r="AA284" s="290">
        <v>0</v>
      </c>
      <c r="AB284" s="290"/>
      <c r="AC284" s="290"/>
      <c r="AD284" s="290"/>
      <c r="AE284" s="290"/>
      <c r="AF284" s="290"/>
      <c r="AG284" s="296"/>
      <c r="AH284" s="296"/>
      <c r="AI284" s="296"/>
      <c r="AJ284" s="296"/>
      <c r="AK284" s="296"/>
      <c r="AL284" s="296"/>
      <c r="AP284" s="142"/>
      <c r="AQ284" s="142">
        <f t="shared" si="33"/>
        <v>0</v>
      </c>
      <c r="AR284" s="142">
        <f t="shared" si="34"/>
        <v>0</v>
      </c>
      <c r="AT284" s="127">
        <f t="shared" si="35"/>
        <v>1</v>
      </c>
      <c r="AU284" s="121"/>
      <c r="AV284" s="137"/>
      <c r="AW284" s="137">
        <f t="shared" si="36"/>
        <v>0</v>
      </c>
      <c r="AX284" s="137">
        <f t="shared" si="37"/>
        <v>0</v>
      </c>
      <c r="AY284" s="121"/>
      <c r="AZ284" s="121"/>
      <c r="BA284" s="121"/>
      <c r="BB284" s="121"/>
      <c r="BC284" s="121"/>
    </row>
    <row r="285" spans="1:55" s="4" customFormat="1" ht="11.25" x14ac:dyDescent="0.2">
      <c r="A285" s="37">
        <v>10</v>
      </c>
      <c r="B285" s="95" t="s">
        <v>64</v>
      </c>
      <c r="C285" s="174"/>
      <c r="D285" s="89"/>
      <c r="E285" s="89"/>
      <c r="F285" s="89"/>
      <c r="G285" s="89"/>
      <c r="H285" s="89"/>
      <c r="I285" s="220"/>
      <c r="J285" s="220"/>
      <c r="K285" s="220"/>
      <c r="L285" s="220"/>
      <c r="M285" s="220"/>
      <c r="N285" s="220"/>
      <c r="O285" s="220"/>
      <c r="P285" s="220"/>
      <c r="Q285" s="174"/>
      <c r="R285" s="174"/>
      <c r="S285" s="174"/>
      <c r="T285" s="174"/>
      <c r="U285" s="314"/>
      <c r="V285" s="314"/>
      <c r="W285" s="314"/>
      <c r="X285" s="314"/>
      <c r="Y285" s="314"/>
      <c r="Z285" s="314"/>
      <c r="AA285" s="313">
        <v>0</v>
      </c>
      <c r="AB285" s="290"/>
      <c r="AC285" s="290"/>
      <c r="AD285" s="290"/>
      <c r="AE285" s="290"/>
      <c r="AF285" s="290"/>
      <c r="AG285" s="296"/>
      <c r="AH285" s="296"/>
      <c r="AI285" s="296"/>
      <c r="AJ285" s="296"/>
      <c r="AK285" s="296"/>
      <c r="AL285" s="296"/>
      <c r="AP285" s="142">
        <f>IF(U285=0,0,1)</f>
        <v>0</v>
      </c>
      <c r="AQ285" s="142">
        <f t="shared" si="33"/>
        <v>0</v>
      </c>
      <c r="AR285" s="142">
        <f t="shared" si="34"/>
        <v>0</v>
      </c>
      <c r="AT285" s="127">
        <f>IF(AND($AM$276=1,MIN(AP285:AR285)=0),0,1)</f>
        <v>1</v>
      </c>
      <c r="AU285" s="121"/>
      <c r="AV285" s="137">
        <f>IF(AND(SUM(AP285:AR285)&gt;0,AP285=0),1,0)</f>
        <v>0</v>
      </c>
      <c r="AW285" s="137">
        <f t="shared" si="36"/>
        <v>0</v>
      </c>
      <c r="AX285" s="137">
        <f t="shared" si="37"/>
        <v>0</v>
      </c>
      <c r="AY285" s="121"/>
      <c r="AZ285" s="121"/>
      <c r="BA285" s="121"/>
      <c r="BB285" s="121"/>
      <c r="BC285" s="121"/>
    </row>
    <row r="286" spans="1:55" s="4" customFormat="1" ht="11.25" x14ac:dyDescent="0.2">
      <c r="A286" s="37">
        <v>11</v>
      </c>
      <c r="B286" s="95" t="s">
        <v>64</v>
      </c>
      <c r="C286" s="174"/>
      <c r="D286" s="89"/>
      <c r="E286" s="89"/>
      <c r="F286" s="89"/>
      <c r="G286" s="89"/>
      <c r="H286" s="89"/>
      <c r="I286" s="220"/>
      <c r="J286" s="220"/>
      <c r="K286" s="220"/>
      <c r="L286" s="220"/>
      <c r="M286" s="220"/>
      <c r="N286" s="220"/>
      <c r="O286" s="220"/>
      <c r="P286" s="220"/>
      <c r="Q286" s="174"/>
      <c r="R286" s="174"/>
      <c r="S286" s="174"/>
      <c r="T286" s="174"/>
      <c r="U286" s="314"/>
      <c r="V286" s="314"/>
      <c r="W286" s="314"/>
      <c r="X286" s="314"/>
      <c r="Y286" s="314"/>
      <c r="Z286" s="314"/>
      <c r="AA286" s="313">
        <v>0</v>
      </c>
      <c r="AB286" s="290"/>
      <c r="AC286" s="290"/>
      <c r="AD286" s="290"/>
      <c r="AE286" s="290"/>
      <c r="AF286" s="290"/>
      <c r="AG286" s="296"/>
      <c r="AH286" s="296"/>
      <c r="AI286" s="296"/>
      <c r="AJ286" s="296"/>
      <c r="AK286" s="296"/>
      <c r="AL286" s="296"/>
      <c r="AP286" s="142">
        <f>IF(U286=0,0,1)</f>
        <v>0</v>
      </c>
      <c r="AQ286" s="142">
        <f t="shared" si="33"/>
        <v>0</v>
      </c>
      <c r="AR286" s="142">
        <f t="shared" si="34"/>
        <v>0</v>
      </c>
      <c r="AT286" s="127">
        <f>IF(AND($AM$276=1,MIN(AP286:AR286)=0),0,1)</f>
        <v>1</v>
      </c>
      <c r="AU286" s="121"/>
      <c r="AV286" s="137">
        <f>IF(AND(SUM(AP286:AR286)&gt;0,AP286=0),1,0)</f>
        <v>0</v>
      </c>
      <c r="AW286" s="137">
        <f t="shared" si="36"/>
        <v>0</v>
      </c>
      <c r="AX286" s="137">
        <f t="shared" si="37"/>
        <v>0</v>
      </c>
      <c r="AY286" s="121"/>
      <c r="AZ286" s="121"/>
      <c r="BA286" s="121"/>
      <c r="BB286" s="121"/>
      <c r="BC286" s="121"/>
    </row>
    <row r="287" spans="1:55" s="4" customFormat="1" ht="11.25" x14ac:dyDescent="0.2">
      <c r="A287" s="37">
        <v>12</v>
      </c>
      <c r="B287" s="95" t="s">
        <v>64</v>
      </c>
      <c r="C287" s="174"/>
      <c r="D287" s="89"/>
      <c r="E287" s="89"/>
      <c r="F287" s="89"/>
      <c r="G287" s="89"/>
      <c r="H287" s="89"/>
      <c r="I287" s="220"/>
      <c r="J287" s="220"/>
      <c r="K287" s="220"/>
      <c r="L287" s="220"/>
      <c r="M287" s="220"/>
      <c r="N287" s="220"/>
      <c r="O287" s="220"/>
      <c r="P287" s="220"/>
      <c r="Q287" s="174"/>
      <c r="R287" s="174"/>
      <c r="S287" s="174"/>
      <c r="T287" s="174"/>
      <c r="U287" s="314"/>
      <c r="V287" s="314"/>
      <c r="W287" s="314"/>
      <c r="X287" s="314"/>
      <c r="Y287" s="314"/>
      <c r="Z287" s="314"/>
      <c r="AA287" s="313">
        <v>0</v>
      </c>
      <c r="AB287" s="290"/>
      <c r="AC287" s="290"/>
      <c r="AD287" s="290"/>
      <c r="AE287" s="290"/>
      <c r="AF287" s="290"/>
      <c r="AG287" s="296"/>
      <c r="AH287" s="296"/>
      <c r="AI287" s="296"/>
      <c r="AJ287" s="296"/>
      <c r="AK287" s="296"/>
      <c r="AL287" s="296"/>
      <c r="AP287" s="142">
        <f>IF(U287=0,0,1)</f>
        <v>0</v>
      </c>
      <c r="AQ287" s="142">
        <f t="shared" si="33"/>
        <v>0</v>
      </c>
      <c r="AR287" s="142">
        <f t="shared" si="34"/>
        <v>0</v>
      </c>
      <c r="AT287" s="127">
        <f>IF(AND($AM$276=1,MIN(AP287:AR287)=0),0,1)</f>
        <v>1</v>
      </c>
      <c r="AU287" s="121"/>
      <c r="AV287" s="137">
        <f>IF(AND(SUM(AP287:AR287)&gt;0,AP287=0),1,0)</f>
        <v>0</v>
      </c>
      <c r="AW287" s="137">
        <f t="shared" si="36"/>
        <v>0</v>
      </c>
      <c r="AX287" s="137">
        <f t="shared" si="37"/>
        <v>0</v>
      </c>
      <c r="AY287" s="121"/>
      <c r="AZ287" s="121"/>
      <c r="BA287" s="121"/>
      <c r="BB287" s="121"/>
      <c r="BC287" s="121"/>
    </row>
    <row r="288" spans="1:55" s="4" customFormat="1" ht="11.25" x14ac:dyDescent="0.2">
      <c r="A288" s="37">
        <v>13</v>
      </c>
      <c r="B288" s="95" t="s">
        <v>64</v>
      </c>
      <c r="C288" s="174"/>
      <c r="D288" s="89"/>
      <c r="E288" s="89"/>
      <c r="F288" s="89"/>
      <c r="G288" s="89"/>
      <c r="H288" s="89"/>
      <c r="I288" s="220"/>
      <c r="J288" s="220"/>
      <c r="K288" s="220"/>
      <c r="L288" s="220"/>
      <c r="M288" s="220"/>
      <c r="N288" s="220"/>
      <c r="O288" s="220"/>
      <c r="P288" s="220"/>
      <c r="Q288" s="174"/>
      <c r="R288" s="174"/>
      <c r="S288" s="174"/>
      <c r="T288" s="174"/>
      <c r="U288" s="314"/>
      <c r="V288" s="314"/>
      <c r="W288" s="314"/>
      <c r="X288" s="314"/>
      <c r="Y288" s="314"/>
      <c r="Z288" s="314"/>
      <c r="AA288" s="313">
        <v>0</v>
      </c>
      <c r="AB288" s="290"/>
      <c r="AC288" s="290"/>
      <c r="AD288" s="290"/>
      <c r="AE288" s="290"/>
      <c r="AF288" s="290"/>
      <c r="AG288" s="296"/>
      <c r="AH288" s="296"/>
      <c r="AI288" s="296"/>
      <c r="AJ288" s="296"/>
      <c r="AK288" s="296"/>
      <c r="AL288" s="296"/>
      <c r="AP288" s="142">
        <f>IF(U288=0,0,1)</f>
        <v>0</v>
      </c>
      <c r="AQ288" s="142">
        <f t="shared" si="33"/>
        <v>0</v>
      </c>
      <c r="AR288" s="142">
        <f t="shared" si="34"/>
        <v>0</v>
      </c>
      <c r="AT288" s="127">
        <f>IF(AND($AM$276=1,MIN(AP288:AR288)=0),0,1)</f>
        <v>1</v>
      </c>
      <c r="AU288" s="120"/>
      <c r="AV288" s="137">
        <f>IF(AND(SUM(AP288:AR288)&gt;0,AP288=0),1,0)</f>
        <v>0</v>
      </c>
      <c r="AW288" s="137">
        <f t="shared" si="36"/>
        <v>0</v>
      </c>
      <c r="AX288" s="137">
        <f t="shared" si="37"/>
        <v>0</v>
      </c>
      <c r="AY288" s="121"/>
      <c r="AZ288" s="121"/>
      <c r="BA288" s="121"/>
      <c r="BB288" s="121"/>
      <c r="BC288" s="121"/>
    </row>
    <row r="289" spans="1:55" s="4" customFormat="1" ht="11.25" x14ac:dyDescent="0.2">
      <c r="A289" s="37">
        <v>14</v>
      </c>
      <c r="B289" s="95" t="s">
        <v>64</v>
      </c>
      <c r="C289" s="174"/>
      <c r="D289" s="89"/>
      <c r="E289" s="89"/>
      <c r="F289" s="89"/>
      <c r="G289" s="89"/>
      <c r="H289" s="89"/>
      <c r="I289" s="220"/>
      <c r="J289" s="220"/>
      <c r="K289" s="220"/>
      <c r="L289" s="220"/>
      <c r="M289" s="220"/>
      <c r="N289" s="220"/>
      <c r="O289" s="220"/>
      <c r="P289" s="220"/>
      <c r="Q289" s="174"/>
      <c r="R289" s="174"/>
      <c r="S289" s="174"/>
      <c r="T289" s="174"/>
      <c r="U289" s="314"/>
      <c r="V289" s="314"/>
      <c r="W289" s="314"/>
      <c r="X289" s="314"/>
      <c r="Y289" s="314"/>
      <c r="Z289" s="314"/>
      <c r="AA289" s="313">
        <v>0</v>
      </c>
      <c r="AB289" s="290"/>
      <c r="AC289" s="290"/>
      <c r="AD289" s="290"/>
      <c r="AE289" s="290"/>
      <c r="AF289" s="290"/>
      <c r="AG289" s="296"/>
      <c r="AH289" s="296"/>
      <c r="AI289" s="296"/>
      <c r="AJ289" s="296"/>
      <c r="AK289" s="296"/>
      <c r="AL289" s="296"/>
      <c r="AP289" s="142">
        <f>IF(U289=0,0,1)</f>
        <v>0</v>
      </c>
      <c r="AQ289" s="142">
        <f t="shared" si="33"/>
        <v>0</v>
      </c>
      <c r="AR289" s="142">
        <f t="shared" si="34"/>
        <v>0</v>
      </c>
      <c r="AT289" s="127">
        <f>IF(AND($AM$276=1,MIN(AP289:AR289)=0),0,1)</f>
        <v>1</v>
      </c>
      <c r="AU289" s="120"/>
      <c r="AV289" s="137">
        <f>IF(AND(SUM(AP289:AR289)&gt;0,AP289=0),1,0)</f>
        <v>0</v>
      </c>
      <c r="AW289" s="137">
        <f t="shared" si="36"/>
        <v>0</v>
      </c>
      <c r="AX289" s="137">
        <f t="shared" si="37"/>
        <v>0</v>
      </c>
      <c r="AY289" s="120"/>
      <c r="AZ289" s="120"/>
      <c r="BA289" s="120"/>
      <c r="BB289" s="120"/>
      <c r="BC289" s="120"/>
    </row>
    <row r="290" spans="1:55" s="4" customFormat="1" ht="11.25" x14ac:dyDescent="0.2">
      <c r="A290" s="182">
        <v>15</v>
      </c>
      <c r="B290" s="84" t="s">
        <v>217</v>
      </c>
      <c r="C290" s="84"/>
      <c r="D290" s="84"/>
      <c r="E290" s="84"/>
      <c r="F290" s="84"/>
      <c r="G290" s="84"/>
      <c r="H290" s="85"/>
      <c r="I290" s="104"/>
      <c r="J290" s="105"/>
      <c r="K290" s="105"/>
      <c r="L290" s="105"/>
      <c r="M290" s="105"/>
      <c r="N290" s="105"/>
      <c r="O290" s="105"/>
      <c r="P290" s="106"/>
      <c r="Q290" s="84"/>
      <c r="R290" s="84"/>
      <c r="S290" s="84"/>
      <c r="T290" s="84"/>
      <c r="U290" s="167"/>
      <c r="V290" s="167"/>
      <c r="W290" s="167"/>
      <c r="X290" s="167"/>
      <c r="Y290" s="168"/>
      <c r="Z290" s="168"/>
      <c r="AA290" s="292">
        <f>SUM(AA276:AF289)</f>
        <v>0</v>
      </c>
      <c r="AB290" s="292"/>
      <c r="AC290" s="292"/>
      <c r="AD290" s="292"/>
      <c r="AE290" s="292"/>
      <c r="AF290" s="292"/>
      <c r="AG290" s="289"/>
      <c r="AH290" s="289"/>
      <c r="AI290" s="289"/>
      <c r="AJ290" s="289"/>
      <c r="AK290" s="289"/>
      <c r="AL290" s="289"/>
      <c r="AP290" s="142"/>
      <c r="AQ290" s="142"/>
      <c r="AR290" s="142"/>
      <c r="AT290" s="127"/>
      <c r="AU290" s="120"/>
      <c r="AV290" s="137"/>
      <c r="AW290" s="137"/>
      <c r="AX290" s="137"/>
      <c r="AY290" s="120"/>
      <c r="AZ290" s="120"/>
      <c r="BA290" s="120"/>
      <c r="BB290" s="120"/>
      <c r="BC290" s="120"/>
    </row>
    <row r="291" spans="1:55" s="4" customFormat="1" ht="11.25" x14ac:dyDescent="0.2">
      <c r="A291" s="42" t="s">
        <v>87</v>
      </c>
      <c r="B291" s="26"/>
      <c r="C291" s="27"/>
      <c r="D291" s="27"/>
      <c r="E291" s="27"/>
      <c r="F291" s="27"/>
      <c r="G291" s="27"/>
      <c r="H291" s="27"/>
      <c r="I291" s="27"/>
      <c r="J291" s="27"/>
      <c r="K291" s="27"/>
      <c r="L291" s="27"/>
      <c r="M291" s="27"/>
      <c r="N291" s="27"/>
      <c r="O291" s="27"/>
      <c r="P291" s="27"/>
      <c r="Q291" s="27"/>
      <c r="R291" s="27"/>
      <c r="S291" s="27"/>
      <c r="T291" s="27"/>
      <c r="U291" s="27"/>
      <c r="V291" s="27"/>
      <c r="W291" s="27"/>
      <c r="X291" s="27"/>
      <c r="Y291" s="34"/>
      <c r="Z291" s="34"/>
      <c r="AA291" s="100"/>
      <c r="AB291" s="100"/>
      <c r="AC291" s="100"/>
      <c r="AD291" s="100"/>
      <c r="AE291" s="67"/>
      <c r="AF291" s="96"/>
      <c r="AG291" s="96"/>
      <c r="AH291" s="96"/>
      <c r="AI291" s="96"/>
      <c r="AJ291" s="96"/>
      <c r="AK291" s="96"/>
      <c r="AL291" s="97"/>
      <c r="AM291" s="4" t="s">
        <v>375</v>
      </c>
      <c r="AP291" s="142"/>
      <c r="AQ291" s="142"/>
      <c r="AR291" s="142"/>
      <c r="AT291" s="127"/>
      <c r="AU291" s="120"/>
      <c r="AV291" s="137"/>
      <c r="AW291" s="137"/>
      <c r="AX291" s="137"/>
      <c r="AY291" s="120"/>
      <c r="AZ291" s="120"/>
      <c r="BA291" s="120"/>
      <c r="BB291" s="120"/>
      <c r="BC291" s="120"/>
    </row>
    <row r="292" spans="1:55" s="4" customFormat="1" ht="11.25" x14ac:dyDescent="0.2">
      <c r="A292" s="37">
        <v>16</v>
      </c>
      <c r="B292" s="95" t="s">
        <v>146</v>
      </c>
      <c r="C292" s="174"/>
      <c r="D292" s="89"/>
      <c r="E292" s="89"/>
      <c r="F292" s="89"/>
      <c r="G292" s="89"/>
      <c r="H292" s="89"/>
      <c r="I292" s="220"/>
      <c r="J292" s="220"/>
      <c r="K292" s="220"/>
      <c r="L292" s="220"/>
      <c r="M292" s="220"/>
      <c r="N292" s="220"/>
      <c r="O292" s="220"/>
      <c r="P292" s="220"/>
      <c r="Q292" s="174"/>
      <c r="R292" s="174"/>
      <c r="S292" s="174"/>
      <c r="T292" s="174"/>
      <c r="U292" s="174"/>
      <c r="V292" s="174"/>
      <c r="W292" s="174"/>
      <c r="X292" s="174"/>
      <c r="Y292" s="102"/>
      <c r="Z292" s="102"/>
      <c r="AA292" s="290">
        <v>0</v>
      </c>
      <c r="AB292" s="290"/>
      <c r="AC292" s="290"/>
      <c r="AD292" s="290"/>
      <c r="AE292" s="290"/>
      <c r="AF292" s="290"/>
      <c r="AG292" s="289"/>
      <c r="AH292" s="289"/>
      <c r="AI292" s="289"/>
      <c r="AJ292" s="289"/>
      <c r="AK292" s="289"/>
      <c r="AL292" s="289"/>
      <c r="AM292" s="143">
        <f>IF(AJ37="Yes",1,0)</f>
        <v>0</v>
      </c>
      <c r="AP292" s="142"/>
      <c r="AQ292" s="142">
        <f>IF(AA292=0,0,1)</f>
        <v>0</v>
      </c>
      <c r="AR292" s="142"/>
      <c r="AT292" s="127">
        <f>IF(AND($AM$276=1,MIN(AQ292)=0),0,1)</f>
        <v>1</v>
      </c>
      <c r="AV292" s="137"/>
      <c r="AW292" s="137"/>
      <c r="AX292" s="137"/>
      <c r="AZ292" s="4">
        <f>IF(AND(AM292=0,SUM(AP292:AR293)&gt;0),1,0)</f>
        <v>0</v>
      </c>
    </row>
    <row r="293" spans="1:55" s="4" customFormat="1" ht="11.25" x14ac:dyDescent="0.2">
      <c r="A293" s="37">
        <v>17</v>
      </c>
      <c r="B293" s="95" t="s">
        <v>147</v>
      </c>
      <c r="C293" s="174"/>
      <c r="D293" s="89"/>
      <c r="E293" s="89"/>
      <c r="F293" s="89"/>
      <c r="G293" s="89"/>
      <c r="H293" s="89"/>
      <c r="I293" s="220"/>
      <c r="J293" s="220"/>
      <c r="K293" s="220"/>
      <c r="L293" s="220"/>
      <c r="M293" s="220"/>
      <c r="N293" s="220"/>
      <c r="O293" s="220"/>
      <c r="P293" s="220"/>
      <c r="Q293" s="174"/>
      <c r="R293" s="174"/>
      <c r="S293" s="174"/>
      <c r="T293" s="174"/>
      <c r="U293" s="174"/>
      <c r="V293" s="174"/>
      <c r="W293" s="174"/>
      <c r="X293" s="174"/>
      <c r="Y293" s="102"/>
      <c r="Z293" s="102"/>
      <c r="AA293" s="290">
        <v>0</v>
      </c>
      <c r="AB293" s="290"/>
      <c r="AC293" s="290"/>
      <c r="AD293" s="290"/>
      <c r="AE293" s="290"/>
      <c r="AF293" s="290"/>
      <c r="AG293" s="289"/>
      <c r="AH293" s="289"/>
      <c r="AI293" s="289"/>
      <c r="AJ293" s="289"/>
      <c r="AK293" s="289"/>
      <c r="AL293" s="289"/>
      <c r="AP293" s="142"/>
      <c r="AQ293" s="142">
        <f>IF(AA293=0,0,1)</f>
        <v>0</v>
      </c>
      <c r="AR293" s="142"/>
      <c r="AT293" s="127">
        <f>IF(AND($AM$276=1,MIN(AQ293)=0),0,1)</f>
        <v>1</v>
      </c>
      <c r="AV293" s="137"/>
      <c r="AW293" s="137"/>
      <c r="AX293" s="137"/>
    </row>
    <row r="294" spans="1:55" s="4" customFormat="1" ht="11.25" x14ac:dyDescent="0.2">
      <c r="A294" s="182">
        <v>18</v>
      </c>
      <c r="B294" s="84" t="s">
        <v>223</v>
      </c>
      <c r="C294" s="84"/>
      <c r="D294" s="84"/>
      <c r="E294" s="84"/>
      <c r="F294" s="84"/>
      <c r="G294" s="84"/>
      <c r="H294" s="85"/>
      <c r="I294" s="104"/>
      <c r="J294" s="105"/>
      <c r="K294" s="105"/>
      <c r="L294" s="105"/>
      <c r="M294" s="105"/>
      <c r="N294" s="105"/>
      <c r="O294" s="105"/>
      <c r="P294" s="106"/>
      <c r="Q294" s="84"/>
      <c r="R294" s="84"/>
      <c r="S294" s="84"/>
      <c r="T294" s="84"/>
      <c r="U294" s="84"/>
      <c r="V294" s="84"/>
      <c r="W294" s="84"/>
      <c r="X294" s="84"/>
      <c r="Y294" s="107"/>
      <c r="Z294" s="107"/>
      <c r="AA294" s="291">
        <f>SUM(AA292:AF293)</f>
        <v>0</v>
      </c>
      <c r="AB294" s="292"/>
      <c r="AC294" s="292"/>
      <c r="AD294" s="292"/>
      <c r="AE294" s="292"/>
      <c r="AF294" s="292"/>
      <c r="AG294" s="289"/>
      <c r="AH294" s="289"/>
      <c r="AI294" s="289"/>
      <c r="AJ294" s="289"/>
      <c r="AK294" s="289"/>
      <c r="AL294" s="289"/>
      <c r="AP294" s="142"/>
      <c r="AQ294" s="142"/>
      <c r="AR294" s="142"/>
      <c r="AT294" s="127"/>
      <c r="AV294" s="137"/>
      <c r="AW294" s="137"/>
      <c r="AX294" s="137"/>
    </row>
    <row r="295" spans="1:55" s="4" customFormat="1" ht="11.25" x14ac:dyDescent="0.2">
      <c r="A295" s="42" t="s">
        <v>88</v>
      </c>
      <c r="B295" s="26"/>
      <c r="C295" s="27"/>
      <c r="D295" s="27"/>
      <c r="E295" s="27"/>
      <c r="F295" s="27"/>
      <c r="G295" s="27"/>
      <c r="H295" s="27"/>
      <c r="I295" s="27"/>
      <c r="J295" s="27"/>
      <c r="K295" s="27"/>
      <c r="L295" s="27"/>
      <c r="M295" s="27"/>
      <c r="N295" s="27"/>
      <c r="O295" s="27"/>
      <c r="P295" s="27"/>
      <c r="Q295" s="27"/>
      <c r="R295" s="27"/>
      <c r="S295" s="27"/>
      <c r="T295" s="27"/>
      <c r="U295" s="27"/>
      <c r="V295" s="27"/>
      <c r="W295" s="27"/>
      <c r="X295" s="27"/>
      <c r="Y295" s="34"/>
      <c r="Z295" s="34"/>
      <c r="AA295" s="100"/>
      <c r="AB295" s="100"/>
      <c r="AC295" s="100"/>
      <c r="AD295" s="100"/>
      <c r="AE295" s="67"/>
      <c r="AF295" s="96"/>
      <c r="AG295" s="96"/>
      <c r="AH295" s="96"/>
      <c r="AI295" s="96"/>
      <c r="AJ295" s="96"/>
      <c r="AK295" s="96"/>
      <c r="AL295" s="97"/>
      <c r="AM295" s="4" t="s">
        <v>375</v>
      </c>
      <c r="AP295" s="142"/>
      <c r="AQ295" s="142"/>
      <c r="AR295" s="142"/>
      <c r="AT295" s="127"/>
      <c r="AV295" s="137"/>
      <c r="AW295" s="137"/>
      <c r="AX295" s="137"/>
    </row>
    <row r="296" spans="1:55" s="4" customFormat="1" ht="11.25" x14ac:dyDescent="0.2">
      <c r="A296" s="37">
        <v>19</v>
      </c>
      <c r="B296" s="95" t="s">
        <v>89</v>
      </c>
      <c r="C296" s="174"/>
      <c r="D296" s="89"/>
      <c r="E296" s="89"/>
      <c r="F296" s="89"/>
      <c r="G296" s="89"/>
      <c r="H296" s="89"/>
      <c r="I296" s="220"/>
      <c r="J296" s="220"/>
      <c r="K296" s="220"/>
      <c r="L296" s="220"/>
      <c r="M296" s="220"/>
      <c r="N296" s="220"/>
      <c r="O296" s="220"/>
      <c r="P296" s="220"/>
      <c r="Q296" s="174"/>
      <c r="R296" s="174"/>
      <c r="S296" s="174"/>
      <c r="T296" s="174"/>
      <c r="U296" s="174"/>
      <c r="V296" s="174"/>
      <c r="W296" s="174"/>
      <c r="X296" s="174"/>
      <c r="Y296" s="102"/>
      <c r="Z296" s="102"/>
      <c r="AA296" s="290">
        <v>0</v>
      </c>
      <c r="AB296" s="290"/>
      <c r="AC296" s="290"/>
      <c r="AD296" s="290"/>
      <c r="AE296" s="290"/>
      <c r="AF296" s="290"/>
      <c r="AG296" s="289"/>
      <c r="AH296" s="289"/>
      <c r="AI296" s="289"/>
      <c r="AJ296" s="289"/>
      <c r="AK296" s="289"/>
      <c r="AL296" s="289"/>
      <c r="AM296" s="143">
        <f>IF(AJ38="Yes",1,0)</f>
        <v>0</v>
      </c>
      <c r="AP296" s="142"/>
      <c r="AQ296" s="142">
        <f>IF(AA296=0,0,1)</f>
        <v>0</v>
      </c>
      <c r="AR296" s="142"/>
      <c r="AT296" s="127">
        <f>IF(AND($AM$276=1,MIN(AQ296)=0),0,1)</f>
        <v>1</v>
      </c>
      <c r="AV296" s="137"/>
      <c r="AW296" s="137"/>
      <c r="AX296" s="137"/>
      <c r="AZ296" s="4">
        <f>IF(AND(AM296=0,SUM(AP296:AR297)&gt;0),1,0)</f>
        <v>0</v>
      </c>
    </row>
    <row r="297" spans="1:55" s="4" customFormat="1" ht="11.25" x14ac:dyDescent="0.2">
      <c r="A297" s="37">
        <v>20</v>
      </c>
      <c r="B297" s="95" t="s">
        <v>105</v>
      </c>
      <c r="C297" s="174"/>
      <c r="D297" s="89"/>
      <c r="E297" s="89"/>
      <c r="F297" s="89"/>
      <c r="G297" s="89"/>
      <c r="H297" s="89"/>
      <c r="I297" s="220"/>
      <c r="J297" s="220"/>
      <c r="K297" s="220"/>
      <c r="L297" s="220"/>
      <c r="M297" s="220"/>
      <c r="N297" s="220"/>
      <c r="O297" s="220"/>
      <c r="P297" s="220"/>
      <c r="Q297" s="174"/>
      <c r="R297" s="174"/>
      <c r="S297" s="174"/>
      <c r="T297" s="174"/>
      <c r="U297" s="174"/>
      <c r="V297" s="174"/>
      <c r="W297" s="174"/>
      <c r="X297" s="174"/>
      <c r="Y297" s="102"/>
      <c r="Z297" s="102"/>
      <c r="AA297" s="290">
        <v>0</v>
      </c>
      <c r="AB297" s="290"/>
      <c r="AC297" s="290"/>
      <c r="AD297" s="290"/>
      <c r="AE297" s="290"/>
      <c r="AF297" s="290"/>
      <c r="AG297" s="289"/>
      <c r="AH297" s="289"/>
      <c r="AI297" s="289"/>
      <c r="AJ297" s="289"/>
      <c r="AK297" s="289"/>
      <c r="AL297" s="289"/>
      <c r="AP297" s="142"/>
      <c r="AQ297" s="142">
        <f>IF(AA297=0,0,1)</f>
        <v>0</v>
      </c>
      <c r="AR297" s="142"/>
      <c r="AT297" s="127">
        <f>IF(AND($AM$276=1,MIN(AQ297)=0),0,1)</f>
        <v>1</v>
      </c>
      <c r="AV297" s="137"/>
      <c r="AW297" s="137"/>
      <c r="AX297" s="137"/>
    </row>
    <row r="298" spans="1:55" s="4" customFormat="1" ht="11.25" x14ac:dyDescent="0.2">
      <c r="A298" s="182">
        <v>21</v>
      </c>
      <c r="B298" s="84" t="s">
        <v>224</v>
      </c>
      <c r="C298" s="84"/>
      <c r="D298" s="84"/>
      <c r="E298" s="84"/>
      <c r="F298" s="84"/>
      <c r="G298" s="84"/>
      <c r="H298" s="85"/>
      <c r="I298" s="104"/>
      <c r="J298" s="105"/>
      <c r="K298" s="105"/>
      <c r="L298" s="105"/>
      <c r="M298" s="105"/>
      <c r="N298" s="105"/>
      <c r="O298" s="105"/>
      <c r="P298" s="106"/>
      <c r="Q298" s="84"/>
      <c r="R298" s="84"/>
      <c r="S298" s="84"/>
      <c r="T298" s="84"/>
      <c r="U298" s="84"/>
      <c r="V298" s="84"/>
      <c r="W298" s="84"/>
      <c r="X298" s="84"/>
      <c r="Y298" s="107"/>
      <c r="Z298" s="107"/>
      <c r="AA298" s="292">
        <f>SUM(AA296:AF297)</f>
        <v>0</v>
      </c>
      <c r="AB298" s="292"/>
      <c r="AC298" s="292"/>
      <c r="AD298" s="292"/>
      <c r="AE298" s="292"/>
      <c r="AF298" s="292"/>
      <c r="AG298" s="289"/>
      <c r="AH298" s="289"/>
      <c r="AI298" s="289"/>
      <c r="AJ298" s="289"/>
      <c r="AK298" s="289"/>
      <c r="AL298" s="289"/>
      <c r="AP298" s="142"/>
      <c r="AQ298" s="142"/>
      <c r="AR298" s="142"/>
      <c r="AT298" s="127"/>
      <c r="AV298" s="137"/>
      <c r="AW298" s="137"/>
      <c r="AX298" s="137"/>
    </row>
    <row r="299" spans="1:55" s="4" customFormat="1" ht="11.25" x14ac:dyDescent="0.2">
      <c r="A299" s="79" t="s">
        <v>226</v>
      </c>
      <c r="B299" s="101"/>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23"/>
      <c r="AH299" s="23"/>
      <c r="AI299" s="23"/>
      <c r="AJ299" s="23"/>
      <c r="AK299" s="23"/>
      <c r="AL299" s="24"/>
      <c r="AM299" s="4" t="s">
        <v>375</v>
      </c>
      <c r="AP299" s="142"/>
      <c r="AQ299" s="142"/>
      <c r="AR299" s="142"/>
      <c r="AT299" s="127"/>
      <c r="AV299" s="137"/>
      <c r="AW299" s="137"/>
      <c r="AX299" s="137"/>
    </row>
    <row r="300" spans="1:55" s="4" customFormat="1" ht="11.25" x14ac:dyDescent="0.2">
      <c r="A300" s="37">
        <v>22</v>
      </c>
      <c r="B300" s="95" t="s">
        <v>400</v>
      </c>
      <c r="C300" s="174"/>
      <c r="D300" s="89"/>
      <c r="E300" s="89"/>
      <c r="F300" s="89"/>
      <c r="G300" s="89"/>
      <c r="H300" s="89"/>
      <c r="I300" s="220"/>
      <c r="J300" s="220"/>
      <c r="K300" s="220"/>
      <c r="L300" s="220"/>
      <c r="M300" s="220"/>
      <c r="N300" s="220"/>
      <c r="O300" s="220"/>
      <c r="P300" s="220"/>
      <c r="Q300" s="174"/>
      <c r="R300" s="174"/>
      <c r="S300" s="174"/>
      <c r="T300" s="174"/>
      <c r="U300" s="174"/>
      <c r="V300" s="174"/>
      <c r="W300" s="174"/>
      <c r="X300" s="174"/>
      <c r="Y300" s="102"/>
      <c r="Z300" s="102"/>
      <c r="AA300" s="290">
        <v>0</v>
      </c>
      <c r="AB300" s="290"/>
      <c r="AC300" s="290"/>
      <c r="AD300" s="290"/>
      <c r="AE300" s="290"/>
      <c r="AF300" s="290"/>
      <c r="AG300" s="153"/>
      <c r="AH300" s="153"/>
      <c r="AI300" s="153"/>
      <c r="AJ300" s="153"/>
      <c r="AK300" s="153"/>
      <c r="AL300" s="154"/>
      <c r="AM300" s="143">
        <f>IF(AJ39="Yes",1,0)</f>
        <v>0</v>
      </c>
      <c r="AP300" s="142"/>
      <c r="AQ300" s="142">
        <f>IF(AA300=0,0,1)</f>
        <v>0</v>
      </c>
      <c r="AR300" s="142"/>
      <c r="AT300" s="127">
        <f>IF(AND($AM$276=1,MIN(AQ300)=0),0,1)</f>
        <v>1</v>
      </c>
      <c r="AV300" s="137"/>
      <c r="AW300" s="137"/>
      <c r="AX300" s="137"/>
      <c r="AZ300" s="4">
        <f>IF(AND(AM300=0,SUM(AP300:AR300)&gt;0),1,0)</f>
        <v>0</v>
      </c>
    </row>
    <row r="301" spans="1:55" s="7" customFormat="1" ht="11.25" x14ac:dyDescent="0.2">
      <c r="I301" s="108"/>
      <c r="J301" s="108"/>
      <c r="K301" s="108"/>
      <c r="L301" s="108"/>
      <c r="M301" s="108"/>
      <c r="N301" s="108"/>
      <c r="O301" s="108"/>
      <c r="P301" s="108"/>
      <c r="Y301" s="109"/>
      <c r="Z301" s="109"/>
      <c r="AA301" s="110"/>
      <c r="AB301" s="110"/>
      <c r="AC301" s="110"/>
      <c r="AD301" s="110"/>
      <c r="AE301" s="110"/>
      <c r="AF301" s="110"/>
      <c r="AG301" s="111"/>
      <c r="AH301" s="111"/>
      <c r="AI301" s="111"/>
      <c r="AJ301" s="111"/>
      <c r="AK301" s="111"/>
      <c r="AL301" s="111"/>
    </row>
    <row r="302" spans="1:55" s="253" customFormat="1" ht="12.75" x14ac:dyDescent="0.2">
      <c r="B302" s="253" t="s">
        <v>547</v>
      </c>
      <c r="U302" s="253" t="s">
        <v>548</v>
      </c>
      <c r="AP302" s="251" t="b">
        <v>0</v>
      </c>
      <c r="AQ302" s="251" t="b">
        <v>0</v>
      </c>
    </row>
    <row r="303" spans="1:55" s="253" customFormat="1" ht="12.75" x14ac:dyDescent="0.2">
      <c r="B303" s="253" t="s">
        <v>546</v>
      </c>
      <c r="U303" s="253" t="s">
        <v>545</v>
      </c>
      <c r="AP303" s="251" t="b">
        <v>0</v>
      </c>
      <c r="AQ303" s="251" t="b">
        <v>0</v>
      </c>
    </row>
    <row r="304" spans="1:55" s="252" customFormat="1" ht="11.25" x14ac:dyDescent="0.2">
      <c r="AP304" s="53" t="s">
        <v>365</v>
      </c>
      <c r="BA304" s="52" t="s">
        <v>511</v>
      </c>
      <c r="BB304" s="52">
        <f>$AQ$23</f>
        <v>0</v>
      </c>
    </row>
    <row r="305" spans="1:54" s="152" customFormat="1" ht="12.75" x14ac:dyDescent="0.2">
      <c r="A305" s="285" t="str">
        <f>IF(BB305=1,"Error. If this is a semi-annual report, this section should be blank.",IF(NOT(AND(A41="Looking good! Proceed to Part 1.",A121="",A153="Looking good! Proceed to Part 2.",A201="Looking good! Proceed to Part 3.",A240="",A270="Looking good! Proceed to Part 4.")),"",IF(BB304=1,"",IF(AZ276&gt;0,"Error. You have entered leveraging data, but your coversheet indicates that you did not leverage funding in support of the HOPWA program. Please resolve this discrepancy.",IF(AND(AM276=1,SUM(AP276:AR289)=0),"Enter data for all public and/or private sources of funding leveraged and expended in support of the HOPWA program.",IF(SUM(AV276:AX300)&gt;0,"Complete the entry for public and/or private sources of funding leveraged and expended in support of the HOPWA program.",IF(AZ292&gt;0,"Error. You have entered program income data, but your coversheet indicates that you did not collect HOPWA program income. Please resolve this discrepancy.",IF(AND(AM292=1,SUM(AP292:AR293)=0),"Enter data for all HOPWA program income collected.",IF(AZ296&gt;0,"Error. You have entered program income data, but your coversheet indicates that you did not expend HOPWA program income. Please resolve this discrepancy.",IF(AND(AM296=1,SUM(AP296:AR297)=0),"Enter data for all HOPWA program income expended.",IF(BA276&gt;0,"Total program income collected must equal total program income expended.",IF(AZ300&gt;0,"Error. You have entered household rent payment data, but your coversheet indicates that none of your households made any rent payments. Please resolve this discrepancy.",IF(AND(AM300=1,SUM(AP300:AR300)=0),"Enter data for household rent payments to private landlords.",IF(OR(AP302=FALSE,AQ302=FALSE,AP303=FALSE,AQ303=FALSE),"Confirm sources of leveraging, program income collected, program income expended, and household rent payments are correct. Update your coversheet if necessary.","Looking good! Proceed to Part 5: TBRA Outcomes."))))))))))))))</f>
        <v/>
      </c>
      <c r="B305" s="285"/>
      <c r="C305" s="285"/>
      <c r="D305" s="285"/>
      <c r="E305" s="285"/>
      <c r="F305" s="285"/>
      <c r="G305" s="285"/>
      <c r="H305" s="285"/>
      <c r="I305" s="285"/>
      <c r="J305" s="285"/>
      <c r="K305" s="285"/>
      <c r="L305" s="285"/>
      <c r="M305" s="285"/>
      <c r="N305" s="285"/>
      <c r="O305" s="285"/>
      <c r="P305" s="285"/>
      <c r="Q305" s="285"/>
      <c r="R305" s="285"/>
      <c r="S305" s="285"/>
      <c r="T305" s="285"/>
      <c r="U305" s="285"/>
      <c r="V305" s="285"/>
      <c r="W305" s="285"/>
      <c r="X305" s="285"/>
      <c r="Y305" s="285"/>
      <c r="Z305" s="285"/>
      <c r="AA305" s="285"/>
      <c r="AB305" s="285"/>
      <c r="AC305" s="285"/>
      <c r="AD305" s="285"/>
      <c r="AE305" s="285"/>
      <c r="AF305" s="285"/>
      <c r="AG305" s="285"/>
      <c r="AH305" s="285"/>
      <c r="AI305" s="285"/>
      <c r="AJ305" s="285"/>
      <c r="AK305" s="285"/>
      <c r="AL305" s="285"/>
      <c r="AP305" s="212">
        <f>IF(BB304=1,1,IF(AND(A305="Looking good! Proceed to Part 5: TBRA Outcomes.",SUM(AT276:AT300)&gt;0,SUM(AV276:AX300)=0,SUM(AZ276:BA300)=0,AP302=TRUE,AQ302=TRUE,AP303=TRUE,AQ303=TRUE),1,0))</f>
        <v>0</v>
      </c>
      <c r="BA305" s="152" t="s">
        <v>513</v>
      </c>
      <c r="BB305" s="163">
        <f>IF(AND($AV$23=1,(SUM(AP276:AR300))&gt;0),1,0)</f>
        <v>0</v>
      </c>
    </row>
    <row r="306" spans="1:54" s="109" customFormat="1" ht="11.25" x14ac:dyDescent="0.2">
      <c r="A306" s="284" t="s">
        <v>409</v>
      </c>
      <c r="B306" s="369" t="str">
        <f>IF(AA158&gt;0,CONCATENATE("TBRA Household Output: ",AA158),"TBRA Household Output: 0")</f>
        <v>TBRA Household Output: 0</v>
      </c>
      <c r="C306" s="101" t="s">
        <v>229</v>
      </c>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c r="AG306" s="128"/>
      <c r="AH306" s="128"/>
      <c r="AI306" s="128"/>
      <c r="AJ306" s="128"/>
      <c r="AK306" s="128"/>
      <c r="AL306" s="129"/>
      <c r="AM306" s="4" t="s">
        <v>375</v>
      </c>
      <c r="AN306" s="8" t="s">
        <v>401</v>
      </c>
      <c r="AP306" s="109" t="s">
        <v>366</v>
      </c>
      <c r="AQ306" s="109" t="s">
        <v>93</v>
      </c>
      <c r="AS306" s="8" t="s">
        <v>363</v>
      </c>
      <c r="AT306" s="109" t="s">
        <v>405</v>
      </c>
      <c r="AU306" s="109" t="s">
        <v>407</v>
      </c>
      <c r="AV306" s="109" t="s">
        <v>408</v>
      </c>
      <c r="AW306" s="109" t="s">
        <v>410</v>
      </c>
      <c r="AX306" s="109" t="s">
        <v>411</v>
      </c>
      <c r="AZ306" s="109" t="s">
        <v>415</v>
      </c>
      <c r="BA306" s="109" t="s">
        <v>416</v>
      </c>
      <c r="BB306" s="109" t="s">
        <v>543</v>
      </c>
    </row>
    <row r="307" spans="1:54" s="109" customFormat="1" ht="11.25" x14ac:dyDescent="0.2">
      <c r="A307" s="284"/>
      <c r="B307" s="370"/>
      <c r="C307" s="37">
        <v>1</v>
      </c>
      <c r="D307" s="95" t="s">
        <v>230</v>
      </c>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273">
        <v>0</v>
      </c>
      <c r="AH307" s="274"/>
      <c r="AI307" s="274"/>
      <c r="AJ307" s="274"/>
      <c r="AK307" s="274"/>
      <c r="AL307" s="275"/>
      <c r="AM307" s="143">
        <f>AQ26</f>
        <v>0</v>
      </c>
      <c r="AN307" s="8">
        <f>IF(AM307=1,AA158,0)</f>
        <v>0</v>
      </c>
      <c r="AO307" s="159"/>
      <c r="AP307" s="157">
        <f>IF(AG307=0,0,1)</f>
        <v>0</v>
      </c>
      <c r="AQ307" s="155">
        <f>SUM(AG307:AL309)</f>
        <v>0</v>
      </c>
      <c r="AR307" s="160"/>
      <c r="AS307" s="160"/>
      <c r="AT307" s="8"/>
      <c r="AW307" s="8"/>
      <c r="AX307" s="8">
        <f>IF(AND(AM307=0,SUM(AO307:AP354)&gt;0),1,0)</f>
        <v>0</v>
      </c>
      <c r="BB307" s="8">
        <f>IF(AND(SUM(BB320:BB331)&gt;0,AA300=0),1,0)</f>
        <v>0</v>
      </c>
    </row>
    <row r="308" spans="1:54" s="109" customFormat="1" ht="11.25" x14ac:dyDescent="0.2">
      <c r="A308" s="284"/>
      <c r="B308" s="370"/>
      <c r="C308" s="37">
        <v>2</v>
      </c>
      <c r="D308" s="95" t="s">
        <v>231</v>
      </c>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273">
        <v>0</v>
      </c>
      <c r="AH308" s="274"/>
      <c r="AI308" s="274"/>
      <c r="AJ308" s="274"/>
      <c r="AK308" s="274"/>
      <c r="AL308" s="275"/>
      <c r="AM308" s="10"/>
      <c r="AO308" s="159"/>
      <c r="AP308" s="157">
        <f>IF(AG308=0,0,1)</f>
        <v>0</v>
      </c>
      <c r="AQ308" s="156"/>
      <c r="AR308" s="160"/>
      <c r="AS308" s="160"/>
      <c r="AT308" s="8"/>
      <c r="AW308" s="8"/>
    </row>
    <row r="309" spans="1:54" s="109" customFormat="1" ht="11.25" x14ac:dyDescent="0.2">
      <c r="A309" s="284"/>
      <c r="B309" s="370"/>
      <c r="C309" s="37">
        <v>3</v>
      </c>
      <c r="D309" s="95" t="s">
        <v>232</v>
      </c>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c r="AG309" s="273">
        <v>0</v>
      </c>
      <c r="AH309" s="274"/>
      <c r="AI309" s="274"/>
      <c r="AJ309" s="274"/>
      <c r="AK309" s="274"/>
      <c r="AL309" s="275"/>
      <c r="AM309" s="10"/>
      <c r="AO309" s="159"/>
      <c r="AP309" s="157">
        <f>IF(AG309=0,0,1)</f>
        <v>0</v>
      </c>
      <c r="AQ309" s="156"/>
      <c r="AR309" s="160"/>
      <c r="AS309" s="160"/>
      <c r="AT309" s="8"/>
      <c r="AW309" s="8"/>
    </row>
    <row r="310" spans="1:54" s="109" customFormat="1" ht="11.25" x14ac:dyDescent="0.2">
      <c r="A310" s="284"/>
      <c r="B310" s="370"/>
      <c r="C310" s="101" t="s">
        <v>227</v>
      </c>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31"/>
      <c r="Z310" s="131"/>
      <c r="AA310" s="131"/>
      <c r="AB310" s="131"/>
      <c r="AC310" s="131"/>
      <c r="AD310" s="270" t="s">
        <v>375</v>
      </c>
      <c r="AE310" s="271"/>
      <c r="AF310" s="272"/>
      <c r="AG310" s="128"/>
      <c r="AH310" s="128"/>
      <c r="AI310" s="128"/>
      <c r="AJ310" s="128"/>
      <c r="AK310" s="128"/>
      <c r="AL310" s="129"/>
      <c r="AM310" s="199" t="s">
        <v>375</v>
      </c>
      <c r="AO310" s="159"/>
      <c r="AP310" s="157"/>
      <c r="AQ310" s="156"/>
      <c r="AR310" s="160"/>
      <c r="AS310" s="160"/>
      <c r="AT310" s="8"/>
      <c r="AW310" s="8"/>
    </row>
    <row r="311" spans="1:54" s="109" customFormat="1" ht="11.25" x14ac:dyDescent="0.2">
      <c r="A311" s="284"/>
      <c r="B311" s="370"/>
      <c r="C311" s="37">
        <v>4</v>
      </c>
      <c r="D311" s="95" t="s">
        <v>550</v>
      </c>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267"/>
      <c r="AE311" s="268"/>
      <c r="AF311" s="269"/>
      <c r="AG311" s="273">
        <v>0</v>
      </c>
      <c r="AH311" s="274"/>
      <c r="AI311" s="274"/>
      <c r="AJ311" s="274"/>
      <c r="AK311" s="274"/>
      <c r="AL311" s="275"/>
      <c r="AM311" s="201"/>
      <c r="AO311" s="157">
        <f>IF(AD311=0,0,1)</f>
        <v>0</v>
      </c>
      <c r="AP311" s="157">
        <f>IF(AG311=0,0,1)</f>
        <v>0</v>
      </c>
      <c r="AQ311" s="156"/>
      <c r="AR311" s="160">
        <f>IF(AND(SUM(AO311:AP311)&gt;0,AO311=0),1,0)</f>
        <v>0</v>
      </c>
      <c r="AS311" s="160">
        <f>IF(AND(SUM(AO311:AP311)&gt;0,AP311=0,AD311="Yes"),1,0)</f>
        <v>0</v>
      </c>
      <c r="AT311" s="8">
        <f>IF(AG311&gt;$AN$307,1,0)</f>
        <v>0</v>
      </c>
      <c r="AW311" s="8">
        <f>IF(AND(AD311="No",AP311&gt;0),1,0)</f>
        <v>0</v>
      </c>
    </row>
    <row r="312" spans="1:54" s="109" customFormat="1" ht="11.25" x14ac:dyDescent="0.2">
      <c r="A312" s="284"/>
      <c r="B312" s="370"/>
      <c r="C312" s="37">
        <v>5</v>
      </c>
      <c r="D312" s="95" t="s">
        <v>342</v>
      </c>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267"/>
      <c r="AE312" s="268"/>
      <c r="AF312" s="269"/>
      <c r="AG312" s="273">
        <v>0</v>
      </c>
      <c r="AH312" s="274"/>
      <c r="AI312" s="274"/>
      <c r="AJ312" s="274"/>
      <c r="AK312" s="274"/>
      <c r="AL312" s="275"/>
      <c r="AM312" s="203" t="s">
        <v>219</v>
      </c>
      <c r="AO312" s="157">
        <f>IF(AD312=0,0,1)</f>
        <v>0</v>
      </c>
      <c r="AP312" s="157">
        <f>IF(AG312=0,0,1)</f>
        <v>0</v>
      </c>
      <c r="AQ312" s="156"/>
      <c r="AR312" s="160">
        <f>IF(AND(SUM(AO312:AP312)&gt;0,AO312=0),1,0)</f>
        <v>0</v>
      </c>
      <c r="AS312" s="160">
        <f>IF(AND(SUM(AO312:AP312)&gt;0,AP312=0,AD312="Yes"),1,0)</f>
        <v>0</v>
      </c>
      <c r="AT312" s="8">
        <f>IF(AG312&gt;$AN$307,1,0)</f>
        <v>0</v>
      </c>
      <c r="AW312" s="8">
        <f>IF(AND(AD312="No",AP312&gt;0),1,0)</f>
        <v>0</v>
      </c>
    </row>
    <row r="313" spans="1:54" s="109" customFormat="1" ht="11.25" x14ac:dyDescent="0.2">
      <c r="A313" s="284"/>
      <c r="B313" s="370"/>
      <c r="C313" s="101" t="s">
        <v>228</v>
      </c>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31"/>
      <c r="Z313" s="131"/>
      <c r="AA313" s="131"/>
      <c r="AB313" s="131"/>
      <c r="AC313" s="131"/>
      <c r="AD313" s="131"/>
      <c r="AE313" s="131"/>
      <c r="AF313" s="131"/>
      <c r="AG313" s="128"/>
      <c r="AH313" s="128"/>
      <c r="AI313" s="128"/>
      <c r="AJ313" s="128"/>
      <c r="AK313" s="128"/>
      <c r="AL313" s="129"/>
      <c r="AM313" s="205" t="s">
        <v>220</v>
      </c>
      <c r="AO313" s="159"/>
      <c r="AP313" s="157"/>
      <c r="AQ313" s="156"/>
      <c r="AR313" s="160"/>
      <c r="AS313" s="160"/>
      <c r="AT313" s="8"/>
      <c r="AW313" s="8"/>
    </row>
    <row r="314" spans="1:54" s="109" customFormat="1" ht="11.25" x14ac:dyDescent="0.2">
      <c r="A314" s="284"/>
      <c r="B314" s="370"/>
      <c r="C314" s="37">
        <v>6</v>
      </c>
      <c r="D314" s="95" t="s">
        <v>233</v>
      </c>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273">
        <v>0</v>
      </c>
      <c r="AH314" s="274"/>
      <c r="AI314" s="274"/>
      <c r="AJ314" s="274"/>
      <c r="AK314" s="274"/>
      <c r="AL314" s="275"/>
      <c r="AM314" s="10"/>
      <c r="AO314" s="159"/>
      <c r="AP314" s="157">
        <f>IF(AG314=0,0,1)</f>
        <v>0</v>
      </c>
      <c r="AQ314" s="155">
        <f>SUM(AG314:AL318)</f>
        <v>0</v>
      </c>
      <c r="AR314" s="160"/>
      <c r="AS314" s="160"/>
      <c r="AT314" s="8"/>
      <c r="AW314" s="8"/>
    </row>
    <row r="315" spans="1:54" s="109" customFormat="1" ht="11.25" x14ac:dyDescent="0.2">
      <c r="A315" s="284"/>
      <c r="B315" s="370"/>
      <c r="C315" s="37">
        <v>7</v>
      </c>
      <c r="D315" s="95" t="s">
        <v>234</v>
      </c>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273">
        <v>0</v>
      </c>
      <c r="AH315" s="274"/>
      <c r="AI315" s="274"/>
      <c r="AJ315" s="274"/>
      <c r="AK315" s="274"/>
      <c r="AL315" s="275"/>
      <c r="AM315" s="10"/>
      <c r="AO315" s="159"/>
      <c r="AP315" s="157">
        <f>IF(AG315=0,0,1)</f>
        <v>0</v>
      </c>
      <c r="AQ315" s="156"/>
      <c r="AR315" s="160"/>
      <c r="AS315" s="160"/>
      <c r="AT315" s="8"/>
      <c r="AW315" s="8"/>
    </row>
    <row r="316" spans="1:54" s="109" customFormat="1" ht="11.25" x14ac:dyDescent="0.2">
      <c r="A316" s="284"/>
      <c r="B316" s="370"/>
      <c r="C316" s="37">
        <v>8</v>
      </c>
      <c r="D316" s="95" t="s">
        <v>235</v>
      </c>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273">
        <v>0</v>
      </c>
      <c r="AH316" s="274"/>
      <c r="AI316" s="274"/>
      <c r="AJ316" s="274"/>
      <c r="AK316" s="274"/>
      <c r="AL316" s="275"/>
      <c r="AM316" s="10"/>
      <c r="AO316" s="159"/>
      <c r="AP316" s="157">
        <f>IF(AG316=0,0,1)</f>
        <v>0</v>
      </c>
      <c r="AQ316" s="156"/>
      <c r="AR316" s="160"/>
      <c r="AS316" s="160"/>
      <c r="AT316" s="8"/>
      <c r="AW316" s="8"/>
    </row>
    <row r="317" spans="1:54" s="109" customFormat="1" ht="11.25" x14ac:dyDescent="0.2">
      <c r="A317" s="284"/>
      <c r="B317" s="370"/>
      <c r="C317" s="37">
        <v>9</v>
      </c>
      <c r="D317" s="95" t="s">
        <v>236</v>
      </c>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c r="AG317" s="273">
        <v>0</v>
      </c>
      <c r="AH317" s="274"/>
      <c r="AI317" s="274"/>
      <c r="AJ317" s="274"/>
      <c r="AK317" s="274"/>
      <c r="AL317" s="275"/>
      <c r="AN317" s="8" t="s">
        <v>421</v>
      </c>
      <c r="AO317" s="159"/>
      <c r="AP317" s="157">
        <f>IF(AG317=0,0,1)</f>
        <v>0</v>
      </c>
      <c r="AQ317" s="156"/>
      <c r="AR317" s="160"/>
      <c r="AS317" s="160"/>
      <c r="AT317" s="8"/>
      <c r="AW317" s="8"/>
    </row>
    <row r="318" spans="1:54" s="109" customFormat="1" ht="11.25" x14ac:dyDescent="0.2">
      <c r="A318" s="284"/>
      <c r="B318" s="370"/>
      <c r="C318" s="37">
        <v>10</v>
      </c>
      <c r="D318" s="95" t="s">
        <v>237</v>
      </c>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c r="AG318" s="273">
        <v>0</v>
      </c>
      <c r="AH318" s="274"/>
      <c r="AI318" s="274"/>
      <c r="AJ318" s="274"/>
      <c r="AK318" s="274"/>
      <c r="AL318" s="275"/>
      <c r="AN318" s="8">
        <f>AG332</f>
        <v>0</v>
      </c>
      <c r="AO318" s="159"/>
      <c r="AP318" s="157">
        <f>IF(AG318=0,0,1)</f>
        <v>0</v>
      </c>
      <c r="AQ318" s="156"/>
      <c r="AR318" s="160"/>
      <c r="AS318" s="160"/>
      <c r="AT318" s="8"/>
      <c r="AW318" s="8"/>
    </row>
    <row r="319" spans="1:54" s="109" customFormat="1" ht="11.25" x14ac:dyDescent="0.2">
      <c r="A319" s="284"/>
      <c r="B319" s="370"/>
      <c r="C319" s="101" t="s">
        <v>90</v>
      </c>
      <c r="D319" s="128"/>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270" t="s">
        <v>375</v>
      </c>
      <c r="AE319" s="271"/>
      <c r="AF319" s="272"/>
      <c r="AG319" s="128"/>
      <c r="AH319" s="128"/>
      <c r="AI319" s="128"/>
      <c r="AJ319" s="128"/>
      <c r="AK319" s="128"/>
      <c r="AL319" s="129"/>
      <c r="AN319" s="8" t="s">
        <v>414</v>
      </c>
      <c r="AO319" s="159"/>
      <c r="AP319" s="157"/>
      <c r="AQ319" s="156"/>
      <c r="AR319" s="160"/>
      <c r="AS319" s="160"/>
      <c r="AT319" s="8"/>
      <c r="AW319" s="8"/>
      <c r="BB319" s="109" t="s">
        <v>375</v>
      </c>
    </row>
    <row r="320" spans="1:54" s="109" customFormat="1" ht="11.25" x14ac:dyDescent="0.2">
      <c r="A320" s="284"/>
      <c r="B320" s="370"/>
      <c r="C320" s="37">
        <v>11</v>
      </c>
      <c r="D320" s="95" t="s">
        <v>238</v>
      </c>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267"/>
      <c r="AE320" s="268"/>
      <c r="AF320" s="269"/>
      <c r="AG320" s="273">
        <v>0</v>
      </c>
      <c r="AH320" s="274"/>
      <c r="AI320" s="274"/>
      <c r="AJ320" s="274"/>
      <c r="AK320" s="274"/>
      <c r="AL320" s="275"/>
      <c r="AN320" s="8">
        <f>AN307-AG332</f>
        <v>0</v>
      </c>
      <c r="AO320" s="157">
        <f t="shared" ref="AO320:AO332" si="38">IF(AD320=0,0,1)</f>
        <v>0</v>
      </c>
      <c r="AP320" s="157">
        <f t="shared" ref="AP320:AP332" si="39">IF(AG320=0,0,1)</f>
        <v>0</v>
      </c>
      <c r="AQ320" s="156"/>
      <c r="AR320" s="160">
        <f>IF(AND(SUM(AO320:AP320)&gt;0,AO320=0),1,0)</f>
        <v>0</v>
      </c>
      <c r="AS320" s="160">
        <f t="shared" ref="AS320:AS332" si="40">IF(AND(SUM(AO320:AP320)&gt;0,AP320=0,AD320="Yes"),1,0)</f>
        <v>0</v>
      </c>
      <c r="AT320" s="8">
        <f t="shared" ref="AT320:AT332" si="41">IF(AG320&gt;$AN$307,1,0)</f>
        <v>0</v>
      </c>
      <c r="AW320" s="8">
        <f t="shared" ref="AW320:AW339" si="42">IF(AND(AD320="No",AP320&gt;0),1,0)</f>
        <v>0</v>
      </c>
      <c r="AZ320" s="8">
        <f>IF(AG320&gt;$AN$320,1,0)</f>
        <v>0</v>
      </c>
      <c r="BA320" s="8">
        <f>IF(SUM(AG320:AL331)&lt;AN320,1,0)</f>
        <v>0</v>
      </c>
      <c r="BB320" s="8">
        <f t="shared" ref="BB320:BB332" si="43">IF(AD320="Yes",1,0)</f>
        <v>0</v>
      </c>
    </row>
    <row r="321" spans="1:54" s="109" customFormat="1" ht="11.25" x14ac:dyDescent="0.2">
      <c r="A321" s="284"/>
      <c r="B321" s="370"/>
      <c r="C321" s="37">
        <v>12</v>
      </c>
      <c r="D321" s="95" t="s">
        <v>239</v>
      </c>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267"/>
      <c r="AE321" s="268"/>
      <c r="AF321" s="269"/>
      <c r="AG321" s="273">
        <v>0</v>
      </c>
      <c r="AH321" s="274"/>
      <c r="AI321" s="274"/>
      <c r="AJ321" s="274"/>
      <c r="AK321" s="274"/>
      <c r="AL321" s="275"/>
      <c r="AO321" s="157">
        <f t="shared" si="38"/>
        <v>0</v>
      </c>
      <c r="AP321" s="157">
        <f t="shared" si="39"/>
        <v>0</v>
      </c>
      <c r="AQ321" s="156"/>
      <c r="AR321" s="160">
        <f t="shared" ref="AR321:AR332" si="44">IF(AND(SUM(AO321:AP321)&gt;0,AO321=0),1,0)</f>
        <v>0</v>
      </c>
      <c r="AS321" s="160">
        <f t="shared" si="40"/>
        <v>0</v>
      </c>
      <c r="AT321" s="8">
        <f t="shared" si="41"/>
        <v>0</v>
      </c>
      <c r="AW321" s="8">
        <f t="shared" si="42"/>
        <v>0</v>
      </c>
      <c r="AZ321" s="8">
        <f t="shared" ref="AZ321:AZ331" si="45">IF(AG321&gt;$AN$320,1,0)</f>
        <v>0</v>
      </c>
      <c r="BB321" s="8">
        <f t="shared" si="43"/>
        <v>0</v>
      </c>
    </row>
    <row r="322" spans="1:54" s="109" customFormat="1" ht="11.25" x14ac:dyDescent="0.2">
      <c r="A322" s="284"/>
      <c r="B322" s="370"/>
      <c r="C322" s="37">
        <v>13</v>
      </c>
      <c r="D322" s="95" t="s">
        <v>240</v>
      </c>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267"/>
      <c r="AE322" s="268"/>
      <c r="AF322" s="269"/>
      <c r="AG322" s="273">
        <v>0</v>
      </c>
      <c r="AH322" s="274"/>
      <c r="AI322" s="274"/>
      <c r="AJ322" s="274"/>
      <c r="AK322" s="274"/>
      <c r="AL322" s="275"/>
      <c r="AO322" s="157">
        <f t="shared" si="38"/>
        <v>0</v>
      </c>
      <c r="AP322" s="157">
        <f t="shared" si="39"/>
        <v>0</v>
      </c>
      <c r="AQ322" s="156"/>
      <c r="AR322" s="160">
        <f t="shared" si="44"/>
        <v>0</v>
      </c>
      <c r="AS322" s="160">
        <f t="shared" si="40"/>
        <v>0</v>
      </c>
      <c r="AT322" s="8">
        <f t="shared" si="41"/>
        <v>0</v>
      </c>
      <c r="AW322" s="8">
        <f t="shared" si="42"/>
        <v>0</v>
      </c>
      <c r="AZ322" s="8">
        <f t="shared" si="45"/>
        <v>0</v>
      </c>
      <c r="BB322" s="8">
        <f t="shared" si="43"/>
        <v>0</v>
      </c>
    </row>
    <row r="323" spans="1:54" s="109" customFormat="1" ht="11.25" x14ac:dyDescent="0.2">
      <c r="A323" s="284"/>
      <c r="B323" s="370"/>
      <c r="C323" s="37">
        <v>14</v>
      </c>
      <c r="D323" s="95" t="s">
        <v>241</v>
      </c>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267"/>
      <c r="AE323" s="268"/>
      <c r="AF323" s="269"/>
      <c r="AG323" s="273">
        <v>0</v>
      </c>
      <c r="AH323" s="274"/>
      <c r="AI323" s="274"/>
      <c r="AJ323" s="274"/>
      <c r="AK323" s="274"/>
      <c r="AL323" s="275"/>
      <c r="AO323" s="157">
        <f t="shared" si="38"/>
        <v>0</v>
      </c>
      <c r="AP323" s="157">
        <f t="shared" si="39"/>
        <v>0</v>
      </c>
      <c r="AQ323" s="156"/>
      <c r="AR323" s="160">
        <f t="shared" si="44"/>
        <v>0</v>
      </c>
      <c r="AS323" s="160">
        <f t="shared" si="40"/>
        <v>0</v>
      </c>
      <c r="AT323" s="8">
        <f t="shared" si="41"/>
        <v>0</v>
      </c>
      <c r="AW323" s="8">
        <f t="shared" si="42"/>
        <v>0</v>
      </c>
      <c r="AZ323" s="8">
        <f t="shared" si="45"/>
        <v>0</v>
      </c>
      <c r="BB323" s="8">
        <f t="shared" si="43"/>
        <v>0</v>
      </c>
    </row>
    <row r="324" spans="1:54" s="109" customFormat="1" ht="11.25" x14ac:dyDescent="0.2">
      <c r="A324" s="284"/>
      <c r="B324" s="370"/>
      <c r="C324" s="37">
        <v>15</v>
      </c>
      <c r="D324" s="95" t="s">
        <v>402</v>
      </c>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267"/>
      <c r="AE324" s="268"/>
      <c r="AF324" s="269"/>
      <c r="AG324" s="273">
        <v>0</v>
      </c>
      <c r="AH324" s="274"/>
      <c r="AI324" s="274"/>
      <c r="AJ324" s="274"/>
      <c r="AK324" s="274"/>
      <c r="AL324" s="275"/>
      <c r="AO324" s="157">
        <f t="shared" si="38"/>
        <v>0</v>
      </c>
      <c r="AP324" s="157">
        <f t="shared" si="39"/>
        <v>0</v>
      </c>
      <c r="AQ324" s="156"/>
      <c r="AR324" s="160">
        <f t="shared" si="44"/>
        <v>0</v>
      </c>
      <c r="AS324" s="160">
        <f t="shared" si="40"/>
        <v>0</v>
      </c>
      <c r="AT324" s="8">
        <f t="shared" si="41"/>
        <v>0</v>
      </c>
      <c r="AW324" s="8">
        <f t="shared" si="42"/>
        <v>0</v>
      </c>
      <c r="AZ324" s="8">
        <f t="shared" si="45"/>
        <v>0</v>
      </c>
      <c r="BB324" s="8">
        <f t="shared" si="43"/>
        <v>0</v>
      </c>
    </row>
    <row r="325" spans="1:54" s="109" customFormat="1" ht="11.25" x14ac:dyDescent="0.2">
      <c r="A325" s="284"/>
      <c r="B325" s="370"/>
      <c r="C325" s="37">
        <v>16</v>
      </c>
      <c r="D325" s="95" t="s">
        <v>403</v>
      </c>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267"/>
      <c r="AE325" s="268"/>
      <c r="AF325" s="269"/>
      <c r="AG325" s="273">
        <v>0</v>
      </c>
      <c r="AH325" s="274"/>
      <c r="AI325" s="274"/>
      <c r="AJ325" s="274"/>
      <c r="AK325" s="274"/>
      <c r="AL325" s="275"/>
      <c r="AO325" s="157">
        <f t="shared" si="38"/>
        <v>0</v>
      </c>
      <c r="AP325" s="157">
        <f t="shared" si="39"/>
        <v>0</v>
      </c>
      <c r="AQ325" s="156"/>
      <c r="AR325" s="160">
        <f t="shared" si="44"/>
        <v>0</v>
      </c>
      <c r="AS325" s="160">
        <f t="shared" si="40"/>
        <v>0</v>
      </c>
      <c r="AT325" s="8">
        <f t="shared" si="41"/>
        <v>0</v>
      </c>
      <c r="AW325" s="8">
        <f t="shared" si="42"/>
        <v>0</v>
      </c>
      <c r="AZ325" s="8">
        <f t="shared" si="45"/>
        <v>0</v>
      </c>
      <c r="BB325" s="8">
        <f t="shared" si="43"/>
        <v>0</v>
      </c>
    </row>
    <row r="326" spans="1:54" s="109" customFormat="1" ht="11.25" x14ac:dyDescent="0.2">
      <c r="A326" s="284"/>
      <c r="B326" s="370"/>
      <c r="C326" s="37">
        <v>17</v>
      </c>
      <c r="D326" s="95" t="s">
        <v>404</v>
      </c>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267"/>
      <c r="AE326" s="268"/>
      <c r="AF326" s="269"/>
      <c r="AG326" s="273">
        <v>0</v>
      </c>
      <c r="AH326" s="274"/>
      <c r="AI326" s="274"/>
      <c r="AJ326" s="274"/>
      <c r="AK326" s="274"/>
      <c r="AL326" s="275"/>
      <c r="AO326" s="157">
        <f t="shared" si="38"/>
        <v>0</v>
      </c>
      <c r="AP326" s="157">
        <f t="shared" si="39"/>
        <v>0</v>
      </c>
      <c r="AQ326" s="156"/>
      <c r="AR326" s="160">
        <f t="shared" si="44"/>
        <v>0</v>
      </c>
      <c r="AS326" s="160">
        <f t="shared" si="40"/>
        <v>0</v>
      </c>
      <c r="AT326" s="8">
        <f t="shared" si="41"/>
        <v>0</v>
      </c>
      <c r="AW326" s="8">
        <f t="shared" si="42"/>
        <v>0</v>
      </c>
      <c r="AZ326" s="8">
        <f t="shared" si="45"/>
        <v>0</v>
      </c>
      <c r="BB326" s="8">
        <f t="shared" si="43"/>
        <v>0</v>
      </c>
    </row>
    <row r="327" spans="1:54" s="109" customFormat="1" ht="11.25" x14ac:dyDescent="0.2">
      <c r="A327" s="284"/>
      <c r="B327" s="370"/>
      <c r="C327" s="37">
        <v>18</v>
      </c>
      <c r="D327" s="95" t="s">
        <v>242</v>
      </c>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267"/>
      <c r="AE327" s="268"/>
      <c r="AF327" s="269"/>
      <c r="AG327" s="273">
        <v>0</v>
      </c>
      <c r="AH327" s="274"/>
      <c r="AI327" s="274"/>
      <c r="AJ327" s="274"/>
      <c r="AK327" s="274"/>
      <c r="AL327" s="275"/>
      <c r="AO327" s="157">
        <f t="shared" si="38"/>
        <v>0</v>
      </c>
      <c r="AP327" s="157">
        <f t="shared" si="39"/>
        <v>0</v>
      </c>
      <c r="AQ327" s="156"/>
      <c r="AR327" s="160">
        <f t="shared" si="44"/>
        <v>0</v>
      </c>
      <c r="AS327" s="160">
        <f t="shared" si="40"/>
        <v>0</v>
      </c>
      <c r="AT327" s="8">
        <f t="shared" si="41"/>
        <v>0</v>
      </c>
      <c r="AW327" s="8">
        <f t="shared" si="42"/>
        <v>0</v>
      </c>
      <c r="AZ327" s="8">
        <f t="shared" si="45"/>
        <v>0</v>
      </c>
      <c r="BB327" s="8">
        <f t="shared" si="43"/>
        <v>0</v>
      </c>
    </row>
    <row r="328" spans="1:54" s="109" customFormat="1" ht="11.25" x14ac:dyDescent="0.2">
      <c r="A328" s="284"/>
      <c r="B328" s="370"/>
      <c r="C328" s="37">
        <v>19</v>
      </c>
      <c r="D328" s="95" t="s">
        <v>251</v>
      </c>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267"/>
      <c r="AE328" s="268"/>
      <c r="AF328" s="269"/>
      <c r="AG328" s="273">
        <v>0</v>
      </c>
      <c r="AH328" s="274"/>
      <c r="AI328" s="274"/>
      <c r="AJ328" s="274"/>
      <c r="AK328" s="274"/>
      <c r="AL328" s="275"/>
      <c r="AO328" s="157">
        <f t="shared" si="38"/>
        <v>0</v>
      </c>
      <c r="AP328" s="157">
        <f t="shared" si="39"/>
        <v>0</v>
      </c>
      <c r="AQ328" s="156"/>
      <c r="AR328" s="160">
        <f t="shared" si="44"/>
        <v>0</v>
      </c>
      <c r="AS328" s="160">
        <f t="shared" si="40"/>
        <v>0</v>
      </c>
      <c r="AT328" s="8">
        <f t="shared" si="41"/>
        <v>0</v>
      </c>
      <c r="AW328" s="8">
        <f t="shared" si="42"/>
        <v>0</v>
      </c>
      <c r="AZ328" s="8">
        <f t="shared" si="45"/>
        <v>0</v>
      </c>
      <c r="BB328" s="8">
        <f t="shared" si="43"/>
        <v>0</v>
      </c>
    </row>
    <row r="329" spans="1:54" s="109" customFormat="1" ht="11.25" x14ac:dyDescent="0.2">
      <c r="A329" s="284"/>
      <c r="B329" s="370"/>
      <c r="C329" s="37">
        <v>20</v>
      </c>
      <c r="D329" s="95" t="s">
        <v>252</v>
      </c>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267"/>
      <c r="AE329" s="268"/>
      <c r="AF329" s="269"/>
      <c r="AG329" s="273">
        <v>0</v>
      </c>
      <c r="AH329" s="274"/>
      <c r="AI329" s="274"/>
      <c r="AJ329" s="274"/>
      <c r="AK329" s="274"/>
      <c r="AL329" s="275"/>
      <c r="AO329" s="157">
        <f t="shared" si="38"/>
        <v>0</v>
      </c>
      <c r="AP329" s="157">
        <f t="shared" si="39"/>
        <v>0</v>
      </c>
      <c r="AQ329" s="156"/>
      <c r="AR329" s="160">
        <f t="shared" si="44"/>
        <v>0</v>
      </c>
      <c r="AS329" s="160">
        <f t="shared" si="40"/>
        <v>0</v>
      </c>
      <c r="AT329" s="8">
        <f t="shared" si="41"/>
        <v>0</v>
      </c>
      <c r="AW329" s="8">
        <f t="shared" si="42"/>
        <v>0</v>
      </c>
      <c r="AZ329" s="8">
        <f t="shared" si="45"/>
        <v>0</v>
      </c>
      <c r="BB329" s="8">
        <f t="shared" si="43"/>
        <v>0</v>
      </c>
    </row>
    <row r="330" spans="1:54" s="109" customFormat="1" ht="11.25" x14ac:dyDescent="0.2">
      <c r="A330" s="284"/>
      <c r="B330" s="370"/>
      <c r="C330" s="37">
        <v>21</v>
      </c>
      <c r="D330" s="95" t="s">
        <v>253</v>
      </c>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267"/>
      <c r="AE330" s="268"/>
      <c r="AF330" s="269"/>
      <c r="AG330" s="273">
        <v>0</v>
      </c>
      <c r="AH330" s="274"/>
      <c r="AI330" s="274"/>
      <c r="AJ330" s="274"/>
      <c r="AK330" s="274"/>
      <c r="AL330" s="275"/>
      <c r="AO330" s="157">
        <f t="shared" si="38"/>
        <v>0</v>
      </c>
      <c r="AP330" s="157">
        <f t="shared" si="39"/>
        <v>0</v>
      </c>
      <c r="AQ330" s="156"/>
      <c r="AR330" s="160">
        <f t="shared" si="44"/>
        <v>0</v>
      </c>
      <c r="AS330" s="160">
        <f t="shared" si="40"/>
        <v>0</v>
      </c>
      <c r="AT330" s="8">
        <f t="shared" si="41"/>
        <v>0</v>
      </c>
      <c r="AW330" s="8">
        <f>IF(AND(AD330="No",AP330&gt;0),1,0)</f>
        <v>0</v>
      </c>
      <c r="AZ330" s="8">
        <f t="shared" si="45"/>
        <v>0</v>
      </c>
      <c r="BB330" s="8">
        <f t="shared" si="43"/>
        <v>0</v>
      </c>
    </row>
    <row r="331" spans="1:54" s="109" customFormat="1" ht="11.25" x14ac:dyDescent="0.2">
      <c r="A331" s="284"/>
      <c r="B331" s="370"/>
      <c r="C331" s="37">
        <v>22</v>
      </c>
      <c r="D331" s="95" t="s">
        <v>270</v>
      </c>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267"/>
      <c r="AE331" s="268"/>
      <c r="AF331" s="269"/>
      <c r="AG331" s="273">
        <v>0</v>
      </c>
      <c r="AH331" s="274"/>
      <c r="AI331" s="274"/>
      <c r="AJ331" s="274"/>
      <c r="AK331" s="274"/>
      <c r="AL331" s="275"/>
      <c r="AO331" s="157">
        <f t="shared" si="38"/>
        <v>0</v>
      </c>
      <c r="AP331" s="157">
        <f t="shared" si="39"/>
        <v>0</v>
      </c>
      <c r="AQ331" s="156"/>
      <c r="AR331" s="160">
        <f t="shared" si="44"/>
        <v>0</v>
      </c>
      <c r="AS331" s="160">
        <f t="shared" si="40"/>
        <v>0</v>
      </c>
      <c r="AT331" s="8">
        <f t="shared" si="41"/>
        <v>0</v>
      </c>
      <c r="AW331" s="8">
        <f t="shared" si="42"/>
        <v>0</v>
      </c>
      <c r="AZ331" s="8">
        <f t="shared" si="45"/>
        <v>0</v>
      </c>
      <c r="BB331" s="8">
        <f t="shared" si="43"/>
        <v>0</v>
      </c>
    </row>
    <row r="332" spans="1:54" s="109" customFormat="1" ht="11.25" x14ac:dyDescent="0.2">
      <c r="A332" s="284"/>
      <c r="B332" s="370"/>
      <c r="C332" s="37">
        <v>23</v>
      </c>
      <c r="D332" s="95" t="s">
        <v>243</v>
      </c>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267"/>
      <c r="AE332" s="268"/>
      <c r="AF332" s="269"/>
      <c r="AG332" s="273">
        <v>0</v>
      </c>
      <c r="AH332" s="274"/>
      <c r="AI332" s="274"/>
      <c r="AJ332" s="274"/>
      <c r="AK332" s="274"/>
      <c r="AL332" s="275"/>
      <c r="AO332" s="157">
        <f t="shared" si="38"/>
        <v>0</v>
      </c>
      <c r="AP332" s="157">
        <f t="shared" si="39"/>
        <v>0</v>
      </c>
      <c r="AQ332" s="156"/>
      <c r="AR332" s="160">
        <f t="shared" si="44"/>
        <v>0</v>
      </c>
      <c r="AS332" s="160">
        <f t="shared" si="40"/>
        <v>0</v>
      </c>
      <c r="AT332" s="8">
        <f t="shared" si="41"/>
        <v>0</v>
      </c>
      <c r="AU332" s="8">
        <f>IF(AND(AM307=1,SUM(BB320:BB332)=0),1,0)</f>
        <v>0</v>
      </c>
      <c r="AV332" s="8">
        <f>IF(AND(AM307=1,SUM(AO320:AO332)&gt;0,SUM(AP320:AP331)=0,SUM(AR320:AS332)=0,SUM(AT320:AT332)=0,AP332&gt;0,AG332&lt;&gt;AN307),1,0)</f>
        <v>0</v>
      </c>
      <c r="AW332" s="8">
        <f t="shared" si="42"/>
        <v>0</v>
      </c>
      <c r="BB332" s="8">
        <f t="shared" si="43"/>
        <v>0</v>
      </c>
    </row>
    <row r="333" spans="1:54" s="109" customFormat="1" ht="11.25" x14ac:dyDescent="0.2">
      <c r="A333" s="284"/>
      <c r="B333" s="370"/>
      <c r="C333" s="101" t="s">
        <v>244</v>
      </c>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31"/>
      <c r="Z333" s="131"/>
      <c r="AA333" s="131"/>
      <c r="AB333" s="131"/>
      <c r="AC333" s="131"/>
      <c r="AD333" s="270" t="s">
        <v>375</v>
      </c>
      <c r="AE333" s="271"/>
      <c r="AF333" s="272"/>
      <c r="AG333" s="128"/>
      <c r="AH333" s="128"/>
      <c r="AI333" s="128"/>
      <c r="AJ333" s="128"/>
      <c r="AK333" s="128"/>
      <c r="AL333" s="129"/>
      <c r="AN333" s="8" t="s">
        <v>425</v>
      </c>
      <c r="AO333" s="159"/>
      <c r="AP333" s="157"/>
      <c r="AQ333" s="156"/>
      <c r="AR333" s="160"/>
      <c r="AS333" s="160"/>
      <c r="AT333" s="8"/>
      <c r="AW333" s="8"/>
    </row>
    <row r="334" spans="1:54" s="109" customFormat="1" ht="11.25" x14ac:dyDescent="0.2">
      <c r="A334" s="284"/>
      <c r="B334" s="370"/>
      <c r="C334" s="37">
        <v>24</v>
      </c>
      <c r="D334" s="95" t="s">
        <v>245</v>
      </c>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267"/>
      <c r="AE334" s="268"/>
      <c r="AF334" s="269"/>
      <c r="AG334" s="273">
        <v>0</v>
      </c>
      <c r="AH334" s="274"/>
      <c r="AI334" s="274"/>
      <c r="AJ334" s="274"/>
      <c r="AK334" s="274"/>
      <c r="AL334" s="275"/>
      <c r="AN334" s="8">
        <f>MAX(AG334:AL339)</f>
        <v>0</v>
      </c>
      <c r="AO334" s="157">
        <f t="shared" ref="AO334:AO339" si="46">IF(AD334=0,0,1)</f>
        <v>0</v>
      </c>
      <c r="AP334" s="157">
        <f t="shared" ref="AP334:AP339" si="47">IF(AG334=0,0,1)</f>
        <v>0</v>
      </c>
      <c r="AQ334" s="156"/>
      <c r="AR334" s="160">
        <f t="shared" ref="AR334" si="48">IF(AND(SUM(AO334:AP334)&gt;0,AO334=0),1,0)</f>
        <v>0</v>
      </c>
      <c r="AS334" s="160">
        <f t="shared" ref="AS334:AS339" si="49">IF(AND(SUM(AO334:AP334)&gt;0,AP334=0,AD334="Yes"),1,0)</f>
        <v>0</v>
      </c>
      <c r="AT334" s="8">
        <f t="shared" ref="AT334:AT339" si="50">IF(AG334&gt;$AN$307,1,0)</f>
        <v>0</v>
      </c>
      <c r="AW334" s="8">
        <f t="shared" si="42"/>
        <v>0</v>
      </c>
    </row>
    <row r="335" spans="1:54" s="109" customFormat="1" ht="11.25" x14ac:dyDescent="0.2">
      <c r="A335" s="284"/>
      <c r="B335" s="370"/>
      <c r="C335" s="37">
        <v>25</v>
      </c>
      <c r="D335" s="95" t="s">
        <v>246</v>
      </c>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267"/>
      <c r="AE335" s="268"/>
      <c r="AF335" s="269"/>
      <c r="AG335" s="273">
        <v>0</v>
      </c>
      <c r="AH335" s="274"/>
      <c r="AI335" s="274"/>
      <c r="AJ335" s="274"/>
      <c r="AK335" s="274"/>
      <c r="AL335" s="275"/>
      <c r="AO335" s="157">
        <f t="shared" si="46"/>
        <v>0</v>
      </c>
      <c r="AP335" s="157">
        <f t="shared" si="47"/>
        <v>0</v>
      </c>
      <c r="AQ335" s="156"/>
      <c r="AR335" s="160">
        <f t="shared" ref="AR335:AR339" si="51">IF(AND(SUM(AO335:AP335)&gt;0,AO335=0),1,0)</f>
        <v>0</v>
      </c>
      <c r="AS335" s="160">
        <f t="shared" si="49"/>
        <v>0</v>
      </c>
      <c r="AT335" s="8">
        <f t="shared" si="50"/>
        <v>0</v>
      </c>
      <c r="AW335" s="8">
        <f t="shared" si="42"/>
        <v>0</v>
      </c>
    </row>
    <row r="336" spans="1:54" s="109" customFormat="1" ht="11.25" x14ac:dyDescent="0.2">
      <c r="A336" s="284"/>
      <c r="B336" s="370"/>
      <c r="C336" s="37">
        <v>26</v>
      </c>
      <c r="D336" s="95" t="s">
        <v>247</v>
      </c>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267"/>
      <c r="AE336" s="268"/>
      <c r="AF336" s="269"/>
      <c r="AG336" s="273">
        <v>0</v>
      </c>
      <c r="AH336" s="274"/>
      <c r="AI336" s="274"/>
      <c r="AJ336" s="274"/>
      <c r="AK336" s="274"/>
      <c r="AL336" s="275"/>
      <c r="AO336" s="157">
        <f t="shared" si="46"/>
        <v>0</v>
      </c>
      <c r="AP336" s="157">
        <f t="shared" si="47"/>
        <v>0</v>
      </c>
      <c r="AQ336" s="156"/>
      <c r="AR336" s="160">
        <f t="shared" si="51"/>
        <v>0</v>
      </c>
      <c r="AS336" s="160">
        <f t="shared" si="49"/>
        <v>0</v>
      </c>
      <c r="AT336" s="8">
        <f t="shared" si="50"/>
        <v>0</v>
      </c>
      <c r="AW336" s="8">
        <f t="shared" si="42"/>
        <v>0</v>
      </c>
    </row>
    <row r="337" spans="1:49" s="109" customFormat="1" ht="11.25" x14ac:dyDescent="0.2">
      <c r="A337" s="284"/>
      <c r="B337" s="370"/>
      <c r="C337" s="37">
        <v>27</v>
      </c>
      <c r="D337" s="95" t="s">
        <v>248</v>
      </c>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267"/>
      <c r="AE337" s="268"/>
      <c r="AF337" s="269"/>
      <c r="AG337" s="273">
        <v>0</v>
      </c>
      <c r="AH337" s="274"/>
      <c r="AI337" s="274"/>
      <c r="AJ337" s="274"/>
      <c r="AK337" s="274"/>
      <c r="AL337" s="275"/>
      <c r="AO337" s="157">
        <f t="shared" si="46"/>
        <v>0</v>
      </c>
      <c r="AP337" s="157">
        <f t="shared" si="47"/>
        <v>0</v>
      </c>
      <c r="AQ337" s="156"/>
      <c r="AR337" s="160">
        <f t="shared" si="51"/>
        <v>0</v>
      </c>
      <c r="AS337" s="160">
        <f t="shared" si="49"/>
        <v>0</v>
      </c>
      <c r="AT337" s="8">
        <f t="shared" si="50"/>
        <v>0</v>
      </c>
      <c r="AW337" s="8">
        <f t="shared" si="42"/>
        <v>0</v>
      </c>
    </row>
    <row r="338" spans="1:49" s="109" customFormat="1" ht="11.25" x14ac:dyDescent="0.2">
      <c r="A338" s="284"/>
      <c r="B338" s="370"/>
      <c r="C338" s="37">
        <v>28</v>
      </c>
      <c r="D338" s="95" t="s">
        <v>249</v>
      </c>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267"/>
      <c r="AE338" s="268"/>
      <c r="AF338" s="269"/>
      <c r="AG338" s="273">
        <v>0</v>
      </c>
      <c r="AH338" s="274"/>
      <c r="AI338" s="274"/>
      <c r="AJ338" s="274"/>
      <c r="AK338" s="274"/>
      <c r="AL338" s="275"/>
      <c r="AO338" s="157">
        <f t="shared" si="46"/>
        <v>0</v>
      </c>
      <c r="AP338" s="157">
        <f t="shared" si="47"/>
        <v>0</v>
      </c>
      <c r="AQ338" s="156"/>
      <c r="AR338" s="160">
        <f t="shared" si="51"/>
        <v>0</v>
      </c>
      <c r="AS338" s="160">
        <f t="shared" si="49"/>
        <v>0</v>
      </c>
      <c r="AT338" s="8">
        <f t="shared" si="50"/>
        <v>0</v>
      </c>
      <c r="AW338" s="8">
        <f t="shared" si="42"/>
        <v>0</v>
      </c>
    </row>
    <row r="339" spans="1:49" s="109" customFormat="1" ht="11.25" x14ac:dyDescent="0.2">
      <c r="A339" s="284"/>
      <c r="B339" s="370"/>
      <c r="C339" s="37">
        <v>29</v>
      </c>
      <c r="D339" s="95" t="s">
        <v>250</v>
      </c>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267"/>
      <c r="AE339" s="268"/>
      <c r="AF339" s="269"/>
      <c r="AG339" s="273">
        <v>0</v>
      </c>
      <c r="AH339" s="274"/>
      <c r="AI339" s="274"/>
      <c r="AJ339" s="274"/>
      <c r="AK339" s="274"/>
      <c r="AL339" s="275"/>
      <c r="AO339" s="157">
        <f t="shared" si="46"/>
        <v>0</v>
      </c>
      <c r="AP339" s="157">
        <f t="shared" si="47"/>
        <v>0</v>
      </c>
      <c r="AQ339" s="156"/>
      <c r="AR339" s="160">
        <f t="shared" si="51"/>
        <v>0</v>
      </c>
      <c r="AS339" s="160">
        <f t="shared" si="49"/>
        <v>0</v>
      </c>
      <c r="AT339" s="8">
        <f t="shared" si="50"/>
        <v>0</v>
      </c>
      <c r="AW339" s="8">
        <f t="shared" si="42"/>
        <v>0</v>
      </c>
    </row>
    <row r="340" spans="1:49" s="109" customFormat="1" ht="11.25" x14ac:dyDescent="0.2">
      <c r="A340" s="284"/>
      <c r="B340" s="370"/>
      <c r="C340" s="101" t="s">
        <v>259</v>
      </c>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31"/>
      <c r="Z340" s="131"/>
      <c r="AA340" s="131"/>
      <c r="AB340" s="131"/>
      <c r="AC340" s="131"/>
      <c r="AD340" s="131"/>
      <c r="AE340" s="131"/>
      <c r="AF340" s="131"/>
      <c r="AG340" s="128"/>
      <c r="AH340" s="128"/>
      <c r="AI340" s="128"/>
      <c r="AJ340" s="128"/>
      <c r="AK340" s="128"/>
      <c r="AL340" s="129"/>
      <c r="AN340" s="109" t="s">
        <v>510</v>
      </c>
      <c r="AO340" s="159"/>
      <c r="AP340" s="157"/>
      <c r="AQ340" s="156"/>
      <c r="AR340" s="160"/>
      <c r="AS340" s="160"/>
      <c r="AT340" s="8"/>
      <c r="AW340" s="8"/>
    </row>
    <row r="341" spans="1:49" s="109" customFormat="1" ht="11.25" x14ac:dyDescent="0.2">
      <c r="A341" s="284"/>
      <c r="B341" s="370"/>
      <c r="C341" s="37">
        <v>30</v>
      </c>
      <c r="D341" s="95" t="s">
        <v>274</v>
      </c>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273">
        <v>0</v>
      </c>
      <c r="AH341" s="274"/>
      <c r="AI341" s="274"/>
      <c r="AJ341" s="274"/>
      <c r="AK341" s="274"/>
      <c r="AL341" s="275"/>
      <c r="AM341" s="109" t="s">
        <v>514</v>
      </c>
      <c r="AN341" s="8">
        <f>IF(B355=CONCATENATE("Error. Number of households cannot exceed ",AN307,"."),1,0)</f>
        <v>0</v>
      </c>
      <c r="AO341" s="159"/>
      <c r="AP341" s="157">
        <f t="shared" ref="AP341:AP354" si="52">IF(AG341=0,0,1)</f>
        <v>0</v>
      </c>
      <c r="AQ341" s="155">
        <f>SUM(AG341:AL354)</f>
        <v>0</v>
      </c>
      <c r="AR341" s="160"/>
      <c r="AS341" s="160"/>
      <c r="AT341" s="8"/>
      <c r="AW341" s="8"/>
    </row>
    <row r="342" spans="1:49" s="109" customFormat="1" ht="11.25" x14ac:dyDescent="0.2">
      <c r="A342" s="284"/>
      <c r="B342" s="370"/>
      <c r="C342" s="37">
        <v>31</v>
      </c>
      <c r="D342" s="95" t="s">
        <v>275</v>
      </c>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273">
        <v>0</v>
      </c>
      <c r="AH342" s="274"/>
      <c r="AI342" s="274"/>
      <c r="AJ342" s="274"/>
      <c r="AK342" s="274"/>
      <c r="AL342" s="275"/>
      <c r="AM342" s="109" t="s">
        <v>515</v>
      </c>
      <c r="AN342" s="8">
        <f>IF(B355=CONCATENATE("Enter the number of households by income level. Total must equal ",AN307,". You've entered ",AQ307,"."),1,0)</f>
        <v>0</v>
      </c>
      <c r="AO342" s="159"/>
      <c r="AP342" s="157">
        <f t="shared" si="52"/>
        <v>0</v>
      </c>
      <c r="AQ342" s="156"/>
      <c r="AR342" s="160"/>
      <c r="AS342" s="160"/>
      <c r="AT342" s="8"/>
      <c r="AW342" s="8"/>
    </row>
    <row r="343" spans="1:49" s="109" customFormat="1" ht="11.25" x14ac:dyDescent="0.2">
      <c r="A343" s="284"/>
      <c r="B343" s="370"/>
      <c r="C343" s="37">
        <v>32</v>
      </c>
      <c r="D343" s="95" t="s">
        <v>276</v>
      </c>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c r="AG343" s="273">
        <v>0</v>
      </c>
      <c r="AH343" s="274"/>
      <c r="AI343" s="274"/>
      <c r="AJ343" s="274"/>
      <c r="AK343" s="274"/>
      <c r="AL343" s="275"/>
      <c r="AM343" s="109" t="s">
        <v>228</v>
      </c>
      <c r="AN343" s="8">
        <f>IF(B355=CONCATENATE("Enter the number of households by longevity. Total must equal ",AN307,". You've entered ",AQ314,"."),1,0)</f>
        <v>0</v>
      </c>
      <c r="AO343" s="159"/>
      <c r="AP343" s="157">
        <f t="shared" si="52"/>
        <v>0</v>
      </c>
      <c r="AQ343" s="156"/>
      <c r="AR343" s="160"/>
      <c r="AS343" s="160"/>
      <c r="AT343" s="8"/>
      <c r="AW343" s="8"/>
    </row>
    <row r="344" spans="1:49" s="109" customFormat="1" ht="11.25" x14ac:dyDescent="0.2">
      <c r="A344" s="284"/>
      <c r="B344" s="370"/>
      <c r="C344" s="37">
        <v>33</v>
      </c>
      <c r="D344" s="95" t="s">
        <v>277</v>
      </c>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c r="AG344" s="273">
        <v>0</v>
      </c>
      <c r="AH344" s="274"/>
      <c r="AI344" s="274"/>
      <c r="AJ344" s="274"/>
      <c r="AK344" s="274"/>
      <c r="AL344" s="275"/>
      <c r="AM344" s="109" t="s">
        <v>516</v>
      </c>
      <c r="AN344" s="8">
        <f>IF(B355=CONCATENATE("Error. If ",AG332," out of ",AN307," households had no income, then the number of households for each other income category cannot exceed ",AN320,"."),1,0)</f>
        <v>0</v>
      </c>
      <c r="AO344" s="159"/>
      <c r="AP344" s="157">
        <f t="shared" si="52"/>
        <v>0</v>
      </c>
      <c r="AQ344" s="156"/>
      <c r="AR344" s="160"/>
      <c r="AS344" s="160"/>
      <c r="AT344" s="8"/>
      <c r="AW344" s="8"/>
    </row>
    <row r="345" spans="1:49" s="109" customFormat="1" ht="11.25" x14ac:dyDescent="0.2">
      <c r="A345" s="284"/>
      <c r="B345" s="370"/>
      <c r="C345" s="37">
        <v>34</v>
      </c>
      <c r="D345" s="95" t="s">
        <v>278</v>
      </c>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c r="AG345" s="273">
        <v>0</v>
      </c>
      <c r="AH345" s="274"/>
      <c r="AI345" s="274"/>
      <c r="AJ345" s="274"/>
      <c r="AK345" s="274"/>
      <c r="AL345" s="275"/>
      <c r="AM345" s="109" t="s">
        <v>517</v>
      </c>
      <c r="AN345" s="8">
        <f>IF(B355=CONCATENATE("If no households accessed and/or maintained any sources of income, then the total number of households that had no income should equal ",AN307,"."),1,0)</f>
        <v>0</v>
      </c>
      <c r="AO345" s="159"/>
      <c r="AP345" s="157">
        <f t="shared" si="52"/>
        <v>0</v>
      </c>
      <c r="AQ345" s="156"/>
      <c r="AR345" s="160"/>
      <c r="AS345" s="160"/>
      <c r="AT345" s="8"/>
      <c r="AW345" s="8"/>
    </row>
    <row r="346" spans="1:49" s="109" customFormat="1" ht="11.25" x14ac:dyDescent="0.2">
      <c r="A346" s="284"/>
      <c r="B346" s="370"/>
      <c r="C346" s="37">
        <v>35</v>
      </c>
      <c r="D346" s="95" t="s">
        <v>279</v>
      </c>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273">
        <v>0</v>
      </c>
      <c r="AH346" s="274"/>
      <c r="AI346" s="274"/>
      <c r="AJ346" s="274"/>
      <c r="AK346" s="274"/>
      <c r="AL346" s="275"/>
      <c r="AM346" s="109" t="s">
        <v>518</v>
      </c>
      <c r="AN346" s="8">
        <f>IF(B355=CONCATENATE("Error. If ",AG332," out of ",AN307," households had no income, then the total number of households for all other income categories cannot be less than ",AN320," at minimum."),1,0)</f>
        <v>0</v>
      </c>
      <c r="AO346" s="159"/>
      <c r="AP346" s="157">
        <f t="shared" si="52"/>
        <v>0</v>
      </c>
      <c r="AQ346" s="156"/>
      <c r="AR346" s="160"/>
      <c r="AS346" s="160"/>
      <c r="AT346" s="8"/>
      <c r="AW346" s="8"/>
    </row>
    <row r="347" spans="1:49" s="109" customFormat="1" ht="11.25" x14ac:dyDescent="0.2">
      <c r="A347" s="284"/>
      <c r="B347" s="370"/>
      <c r="C347" s="37">
        <v>36</v>
      </c>
      <c r="D347" s="95" t="s">
        <v>280</v>
      </c>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273">
        <v>0</v>
      </c>
      <c r="AH347" s="274"/>
      <c r="AI347" s="274"/>
      <c r="AJ347" s="274"/>
      <c r="AK347" s="274"/>
      <c r="AL347" s="275"/>
      <c r="AM347" s="109" t="s">
        <v>519</v>
      </c>
      <c r="AN347" s="8">
        <f>IF(B355=CONCATENATE("Error. The total number of households for these income categories cannot be less than ",AN320," at minimum."),1,0)</f>
        <v>0</v>
      </c>
      <c r="AO347" s="159"/>
      <c r="AP347" s="157">
        <f t="shared" si="52"/>
        <v>0</v>
      </c>
      <c r="AQ347" s="156"/>
      <c r="AR347" s="160"/>
      <c r="AS347" s="160"/>
      <c r="AT347" s="8"/>
      <c r="AW347" s="8"/>
    </row>
    <row r="348" spans="1:49" s="109" customFormat="1" ht="11.25" x14ac:dyDescent="0.2">
      <c r="A348" s="284"/>
      <c r="B348" s="370"/>
      <c r="C348" s="37">
        <v>37</v>
      </c>
      <c r="D348" s="95" t="s">
        <v>281</v>
      </c>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273">
        <v>0</v>
      </c>
      <c r="AH348" s="274"/>
      <c r="AI348" s="274"/>
      <c r="AJ348" s="274"/>
      <c r="AK348" s="274"/>
      <c r="AL348" s="275"/>
      <c r="AM348" s="109" t="s">
        <v>544</v>
      </c>
      <c r="AO348" s="159"/>
      <c r="AP348" s="157">
        <f t="shared" si="52"/>
        <v>0</v>
      </c>
      <c r="AQ348" s="156"/>
      <c r="AR348" s="160"/>
      <c r="AS348" s="160"/>
      <c r="AT348" s="8"/>
      <c r="AW348" s="8"/>
    </row>
    <row r="349" spans="1:49" s="109" customFormat="1" ht="11.25" x14ac:dyDescent="0.2">
      <c r="A349" s="284"/>
      <c r="B349" s="370"/>
      <c r="C349" s="37">
        <v>38</v>
      </c>
      <c r="D349" s="95" t="s">
        <v>282</v>
      </c>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273">
        <v>0</v>
      </c>
      <c r="AH349" s="274"/>
      <c r="AI349" s="274"/>
      <c r="AJ349" s="274"/>
      <c r="AK349" s="274"/>
      <c r="AL349" s="275"/>
      <c r="AM349" s="109" t="s">
        <v>520</v>
      </c>
      <c r="AN349" s="8">
        <f>IF(B355=CONCATENATE("Enter the number of households by household status. Total must equal ",AN307,". You've entered ",AQ341,"."),1,0)</f>
        <v>0</v>
      </c>
      <c r="AO349" s="159"/>
      <c r="AP349" s="157">
        <f t="shared" si="52"/>
        <v>0</v>
      </c>
      <c r="AQ349" s="156"/>
      <c r="AR349" s="160"/>
      <c r="AS349" s="160"/>
      <c r="AT349" s="8"/>
      <c r="AW349" s="8"/>
    </row>
    <row r="350" spans="1:49" s="109" customFormat="1" ht="11.25" x14ac:dyDescent="0.2">
      <c r="A350" s="284"/>
      <c r="B350" s="370"/>
      <c r="C350" s="37">
        <v>39</v>
      </c>
      <c r="D350" s="95" t="s">
        <v>287</v>
      </c>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273">
        <v>0</v>
      </c>
      <c r="AH350" s="274"/>
      <c r="AI350" s="274"/>
      <c r="AJ350" s="274"/>
      <c r="AK350" s="274"/>
      <c r="AL350" s="275"/>
      <c r="AO350" s="159"/>
      <c r="AP350" s="157">
        <f t="shared" si="52"/>
        <v>0</v>
      </c>
      <c r="AQ350" s="156"/>
      <c r="AR350" s="160"/>
      <c r="AS350" s="160"/>
      <c r="AT350" s="8"/>
      <c r="AW350" s="8"/>
    </row>
    <row r="351" spans="1:49" s="109" customFormat="1" ht="11.25" x14ac:dyDescent="0.2">
      <c r="A351" s="284"/>
      <c r="B351" s="370"/>
      <c r="C351" s="37">
        <v>40</v>
      </c>
      <c r="D351" s="95" t="s">
        <v>283</v>
      </c>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273">
        <v>0</v>
      </c>
      <c r="AH351" s="274"/>
      <c r="AI351" s="274"/>
      <c r="AJ351" s="274"/>
      <c r="AK351" s="274"/>
      <c r="AL351" s="275"/>
      <c r="AO351" s="159"/>
      <c r="AP351" s="157">
        <f t="shared" si="52"/>
        <v>0</v>
      </c>
      <c r="AQ351" s="156"/>
      <c r="AR351" s="160"/>
      <c r="AS351" s="160"/>
      <c r="AT351" s="8"/>
      <c r="AW351" s="8"/>
    </row>
    <row r="352" spans="1:49" s="109" customFormat="1" ht="11.25" x14ac:dyDescent="0.2">
      <c r="A352" s="284"/>
      <c r="B352" s="370"/>
      <c r="C352" s="37">
        <v>41</v>
      </c>
      <c r="D352" s="95" t="s">
        <v>284</v>
      </c>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273">
        <v>0</v>
      </c>
      <c r="AH352" s="274"/>
      <c r="AI352" s="274"/>
      <c r="AJ352" s="274"/>
      <c r="AK352" s="274"/>
      <c r="AL352" s="275"/>
      <c r="AO352" s="159"/>
      <c r="AP352" s="157">
        <f t="shared" si="52"/>
        <v>0</v>
      </c>
      <c r="AQ352" s="156"/>
      <c r="AR352" s="160"/>
      <c r="AS352" s="160"/>
      <c r="AT352" s="8"/>
      <c r="AW352" s="8"/>
    </row>
    <row r="353" spans="1:54" s="109" customFormat="1" ht="11.25" x14ac:dyDescent="0.2">
      <c r="A353" s="284"/>
      <c r="B353" s="370"/>
      <c r="C353" s="37">
        <v>42</v>
      </c>
      <c r="D353" s="95" t="s">
        <v>285</v>
      </c>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c r="AG353" s="273">
        <v>0</v>
      </c>
      <c r="AH353" s="274"/>
      <c r="AI353" s="274"/>
      <c r="AJ353" s="274"/>
      <c r="AK353" s="274"/>
      <c r="AL353" s="275"/>
      <c r="AO353" s="159"/>
      <c r="AP353" s="157">
        <f t="shared" si="52"/>
        <v>0</v>
      </c>
      <c r="AQ353" s="156"/>
      <c r="AR353" s="160"/>
      <c r="AS353" s="160"/>
      <c r="AT353" s="8"/>
      <c r="AW353" s="8"/>
    </row>
    <row r="354" spans="1:54" s="109" customFormat="1" ht="11.25" x14ac:dyDescent="0.2">
      <c r="A354" s="284"/>
      <c r="B354" s="371"/>
      <c r="C354" s="37">
        <v>43</v>
      </c>
      <c r="D354" s="95" t="s">
        <v>286</v>
      </c>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c r="AG354" s="273">
        <v>0</v>
      </c>
      <c r="AH354" s="274"/>
      <c r="AI354" s="274"/>
      <c r="AJ354" s="274"/>
      <c r="AK354" s="274"/>
      <c r="AL354" s="275"/>
      <c r="AO354" s="159"/>
      <c r="AP354" s="157">
        <f t="shared" si="52"/>
        <v>0</v>
      </c>
      <c r="AQ354" s="156"/>
      <c r="AR354" s="160"/>
      <c r="AS354" s="160"/>
      <c r="AT354" s="8"/>
      <c r="AU354" s="53" t="s">
        <v>365</v>
      </c>
      <c r="AW354" s="8"/>
      <c r="BA354" s="52" t="s">
        <v>511</v>
      </c>
      <c r="BB354" s="52">
        <f>$AQ$23</f>
        <v>0</v>
      </c>
    </row>
    <row r="355" spans="1:54" ht="12.75" x14ac:dyDescent="0.2">
      <c r="B355" s="258" t="str">
        <f>IF(BB355=1,"Error. If this is a semi-annual report, this section should be blank.",IF(NOT(AND(A41="Looking good! Proceed to Part 1.",A121="",A153="Looking good! Proceed to Part 2.",A201="Looking good! Proceed to Part 3.",A240="",A270="Looking good! Proceed to Part 4.",A305="Looking good! Proceed to Part 5: TBRA Outcomes.")),"",IF(BB354=1,"",IF(AX307=1,"You've entered outcome data, but your coversheet indicates that you did not undertake this activity. Please resolve this discrepancy.",IF(SUM(AW307:AW354)&gt;0,"Error. You've indicated this is not applicable, but you've entered outcome data. Please resolve this discrepancy.",IF(SUM(AT307:AT354)&gt;0,CONCATENATE("Error. Number of households cannot exceed ",AN307,"."),IF(AND(AM307=1,AN307&lt;&gt;AQ307),CONCATENATE("Enter the number of households by income level. Total must equal ",AN307,". You've entered ",AQ307,"."),IF(AND(AM307=1,MIN(AO311:AO312)=0),"Select whether each health outcome is applicable.",IF(AND(AM307=1,SUM(AS311:AS312)&gt;0),"Enter the number of households with eligible individuals that experienced these health outcomes.",IF(AND(AM307=1,AN307&lt;&gt;AQ314),CONCATENATE("Enter the number of households by longevity. Total must equal ",AN307,". You've entered ",AQ314,"."),IF(AND(AM307=1,MIN(AO320:AO332)=0),"Select whether each source of income is applicable.",IF(SUM(AZ320:AZ331)&gt;0,CONCATENATE("Error. If ",AG332," out of ",AN307," households had no income, then the number of households for each other income category cannot exceed ",AN320,"."),IF(AU332=1,"If no households accessed and/or maintained any sources of income, please select ""yes"".",IF(AV332=1,CONCATENATE("If no households accessed and/or maintained any sources of income, then the total number of households that had no income should equal ",AN307,"."),IF(AND(AM307=1,SUM(AS320:AS332)&gt;0),"Enter the number of households that accessed and/or maintained these sources of income.",IF(AND(AN307&lt;&gt;AN320,BA320&gt;0),CONCATENATE("Error. If ",AG332," out of ",AN307," households had no income, then the total number of households for all other income categories cannot be less than ",AN320," at minimum."),IF(AND(AN307=AN320,BA320&gt;0),CONCATENATE("Error. The total number of households for these income categories cannot be less than ",AN320," at minimum."),IF(AND(AM307=1,MIN(AO334:AO339)=0),"Select whether each source of medical insurance and/or assistance is applicable.",IF(AND(AM307=1,SUM(AS334:AS339)&gt;0),"Enter the number of households that accessed and/or maintained these sources of medical insurance and/or assistance.",IF(AND(AM307=1,AN307&lt;&gt;AQ341),CONCATENATE("Enter the number of households by household status. Total must equal ",AN307,". You've entered ",AQ341,"."),"Looking good! Proceed to Part 5: STRMU Outcomes."))))))))))))))))))))</f>
        <v/>
      </c>
      <c r="C355" s="258"/>
      <c r="D355" s="258"/>
      <c r="E355" s="258"/>
      <c r="F355" s="258"/>
      <c r="G355" s="258"/>
      <c r="H355" s="258"/>
      <c r="I355" s="258"/>
      <c r="J355" s="258"/>
      <c r="K355" s="258"/>
      <c r="L355" s="258"/>
      <c r="M355" s="258"/>
      <c r="N355" s="258"/>
      <c r="O355" s="258"/>
      <c r="P355" s="258"/>
      <c r="Q355" s="258"/>
      <c r="R355" s="258"/>
      <c r="S355" s="258"/>
      <c r="T355" s="258"/>
      <c r="U355" s="258"/>
      <c r="V355" s="258"/>
      <c r="W355" s="258"/>
      <c r="X355" s="258"/>
      <c r="Y355" s="258"/>
      <c r="Z355" s="258"/>
      <c r="AA355" s="258"/>
      <c r="AB355" s="258"/>
      <c r="AC355" s="258"/>
      <c r="AD355" s="258"/>
      <c r="AE355" s="258"/>
      <c r="AF355" s="258"/>
      <c r="AG355" s="258"/>
      <c r="AH355" s="258"/>
      <c r="AI355" s="258"/>
      <c r="AJ355" s="258"/>
      <c r="AK355" s="258"/>
      <c r="AL355" s="258"/>
      <c r="AU355" s="212">
        <f>IF(BB354=1,1,IF(AM307=0,1,IF(AND(AM307=1,B355="Looking good! Proceed to Part 5: STRMU Outcomes.",SUM(AO307:AP354)&gt;0,SUM(AR307:AS354)=0,SUM(AT307:BA339)=0),1,0)))</f>
        <v>1</v>
      </c>
      <c r="BA355" s="1" t="s">
        <v>513</v>
      </c>
      <c r="BB355" s="163">
        <f>IF(AND($AV$23=1,(SUM(AO307:AP354))&gt;0),1,0)</f>
        <v>0</v>
      </c>
    </row>
    <row r="356" spans="1:54" s="109" customFormat="1" ht="11.25" customHeight="1" x14ac:dyDescent="0.2">
      <c r="A356" s="284" t="s">
        <v>409</v>
      </c>
      <c r="B356" s="402" t="str">
        <f>IF(AA159&gt;0,CONCATENATE("STRMU Household Output: ",AA159),"STRMU Household Output: 0")</f>
        <v>STRMU Household Output: 0</v>
      </c>
      <c r="C356" s="101" t="s">
        <v>229</v>
      </c>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c r="AG356" s="128"/>
      <c r="AH356" s="128"/>
      <c r="AI356" s="128"/>
      <c r="AJ356" s="128"/>
      <c r="AK356" s="128"/>
      <c r="AL356" s="129"/>
      <c r="AM356" s="4" t="s">
        <v>375</v>
      </c>
      <c r="AN356" s="8" t="s">
        <v>401</v>
      </c>
      <c r="AP356" s="109" t="s">
        <v>366</v>
      </c>
      <c r="AQ356" s="109" t="s">
        <v>93</v>
      </c>
      <c r="AS356" s="8" t="s">
        <v>363</v>
      </c>
      <c r="AT356" s="109" t="s">
        <v>405</v>
      </c>
      <c r="AU356" s="109" t="s">
        <v>407</v>
      </c>
      <c r="AV356" s="109" t="s">
        <v>408</v>
      </c>
      <c r="AW356" s="109" t="s">
        <v>410</v>
      </c>
      <c r="AX356" s="109" t="s">
        <v>411</v>
      </c>
      <c r="AY356" s="109" t="s">
        <v>413</v>
      </c>
      <c r="AZ356" s="109" t="s">
        <v>415</v>
      </c>
      <c r="BA356" s="109" t="s">
        <v>416</v>
      </c>
      <c r="BB356" s="109" t="s">
        <v>541</v>
      </c>
    </row>
    <row r="357" spans="1:54" s="109" customFormat="1" ht="11.25" x14ac:dyDescent="0.2">
      <c r="A357" s="284"/>
      <c r="B357" s="403"/>
      <c r="C357" s="37">
        <v>1</v>
      </c>
      <c r="D357" s="95" t="s">
        <v>230</v>
      </c>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273">
        <v>0</v>
      </c>
      <c r="AH357" s="274"/>
      <c r="AI357" s="274"/>
      <c r="AJ357" s="274"/>
      <c r="AK357" s="274"/>
      <c r="AL357" s="275"/>
      <c r="AM357" s="143">
        <f>AQ27</f>
        <v>0</v>
      </c>
      <c r="AN357" s="8">
        <f>IF(AM357=1,AA159,0)</f>
        <v>0</v>
      </c>
      <c r="AO357" s="159"/>
      <c r="AP357" s="157">
        <f>IF(AG357=0,0,1)</f>
        <v>0</v>
      </c>
      <c r="AQ357" s="155">
        <f>SUM(AG357:AL359)</f>
        <v>0</v>
      </c>
      <c r="AR357" s="160"/>
      <c r="AS357" s="160"/>
      <c r="AT357" s="8"/>
      <c r="AW357" s="8"/>
      <c r="AX357" s="8">
        <f>IF(AND(AM357=0,SUM(AO357:AP401)&gt;0),1,0)</f>
        <v>0</v>
      </c>
    </row>
    <row r="358" spans="1:54" s="109" customFormat="1" ht="11.25" x14ac:dyDescent="0.2">
      <c r="A358" s="284"/>
      <c r="B358" s="403"/>
      <c r="C358" s="37">
        <v>2</v>
      </c>
      <c r="D358" s="95" t="s">
        <v>231</v>
      </c>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c r="AG358" s="273">
        <v>0</v>
      </c>
      <c r="AH358" s="274"/>
      <c r="AI358" s="274"/>
      <c r="AJ358" s="274"/>
      <c r="AK358" s="274"/>
      <c r="AL358" s="275"/>
      <c r="AO358" s="159"/>
      <c r="AP358" s="157">
        <f>IF(AG358=0,0,1)</f>
        <v>0</v>
      </c>
      <c r="AQ358" s="156"/>
      <c r="AR358" s="160"/>
      <c r="AS358" s="160"/>
      <c r="AT358" s="8"/>
      <c r="AW358" s="8"/>
    </row>
    <row r="359" spans="1:54" s="109" customFormat="1" ht="11.25" x14ac:dyDescent="0.2">
      <c r="A359" s="284"/>
      <c r="B359" s="403"/>
      <c r="C359" s="37">
        <v>3</v>
      </c>
      <c r="D359" s="95" t="s">
        <v>232</v>
      </c>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273">
        <v>0</v>
      </c>
      <c r="AH359" s="274"/>
      <c r="AI359" s="274"/>
      <c r="AJ359" s="274"/>
      <c r="AK359" s="274"/>
      <c r="AL359" s="275"/>
      <c r="AO359" s="159"/>
      <c r="AP359" s="157">
        <f>IF(AG359=0,0,1)</f>
        <v>0</v>
      </c>
      <c r="AQ359" s="156"/>
      <c r="AR359" s="160"/>
      <c r="AS359" s="160"/>
      <c r="AT359" s="8"/>
      <c r="AW359" s="8"/>
    </row>
    <row r="360" spans="1:54" s="109" customFormat="1" ht="11.25" x14ac:dyDescent="0.2">
      <c r="A360" s="284"/>
      <c r="B360" s="403"/>
      <c r="C360" s="101" t="s">
        <v>228</v>
      </c>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31"/>
      <c r="Z360" s="131"/>
      <c r="AA360" s="131"/>
      <c r="AB360" s="131"/>
      <c r="AC360" s="131"/>
      <c r="AD360" s="270" t="s">
        <v>375</v>
      </c>
      <c r="AE360" s="271"/>
      <c r="AF360" s="272"/>
      <c r="AG360" s="128"/>
      <c r="AH360" s="128"/>
      <c r="AI360" s="128"/>
      <c r="AJ360" s="128"/>
      <c r="AK360" s="128"/>
      <c r="AL360" s="129"/>
      <c r="AN360" s="8" t="s">
        <v>412</v>
      </c>
      <c r="AO360" s="159"/>
      <c r="AP360" s="157"/>
      <c r="AQ360" s="156"/>
      <c r="AR360" s="160"/>
      <c r="AS360" s="160"/>
      <c r="AT360" s="8"/>
      <c r="AW360" s="8"/>
    </row>
    <row r="361" spans="1:54" s="109" customFormat="1" ht="11.25" x14ac:dyDescent="0.2">
      <c r="A361" s="284"/>
      <c r="B361" s="403"/>
      <c r="C361" s="37">
        <v>4</v>
      </c>
      <c r="D361" s="95" t="s">
        <v>260</v>
      </c>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267"/>
      <c r="AE361" s="268"/>
      <c r="AF361" s="269"/>
      <c r="AG361" s="273">
        <v>0</v>
      </c>
      <c r="AH361" s="274"/>
      <c r="AI361" s="274"/>
      <c r="AJ361" s="274"/>
      <c r="AK361" s="274"/>
      <c r="AL361" s="275"/>
      <c r="AN361" s="8">
        <f>AN357-AG361</f>
        <v>0</v>
      </c>
      <c r="AO361" s="157">
        <f>IF(AD361=0,0,1)</f>
        <v>0</v>
      </c>
      <c r="AP361" s="157">
        <f>IF(AG361=0,0,1)</f>
        <v>0</v>
      </c>
      <c r="AQ361" s="155">
        <f>SUM(AG361:AL364)</f>
        <v>0</v>
      </c>
      <c r="AR361" s="160">
        <f>IF(AND(SUM(AO361:AP361)&gt;0,AO361=0),1,0)</f>
        <v>0</v>
      </c>
      <c r="AS361" s="160">
        <f>IF(AND(SUM(AO361:AP361)&gt;0,AP361=0,AD361="Yes"),1,0)</f>
        <v>0</v>
      </c>
      <c r="AT361" s="8">
        <f>IF(AG361&gt;$AN$357,1,0)</f>
        <v>0</v>
      </c>
      <c r="AW361" s="8">
        <f>IF(AND(AD361="No",AP361&gt;0),1,0)</f>
        <v>0</v>
      </c>
      <c r="BB361" s="8">
        <f>IF(SUM(AG361:AL364)&lt;$AN$357,1,0)</f>
        <v>0</v>
      </c>
    </row>
    <row r="362" spans="1:54" s="109" customFormat="1" ht="11.25" x14ac:dyDescent="0.2">
      <c r="A362" s="284"/>
      <c r="B362" s="403"/>
      <c r="C362" s="37">
        <v>5</v>
      </c>
      <c r="D362" s="95" t="s">
        <v>261</v>
      </c>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267"/>
      <c r="AE362" s="268"/>
      <c r="AF362" s="269"/>
      <c r="AG362" s="273">
        <v>0</v>
      </c>
      <c r="AH362" s="274"/>
      <c r="AI362" s="274"/>
      <c r="AJ362" s="274"/>
      <c r="AK362" s="274"/>
      <c r="AL362" s="275"/>
      <c r="AO362" s="157">
        <f>IF(AD362=0,0,1)</f>
        <v>0</v>
      </c>
      <c r="AP362" s="157">
        <f>IF(AG362=0,0,1)</f>
        <v>0</v>
      </c>
      <c r="AQ362" s="156"/>
      <c r="AR362" s="160">
        <f>IF(AND(SUM(AO362:AP362)&gt;0,AO362=0),1,0)</f>
        <v>0</v>
      </c>
      <c r="AS362" s="160">
        <f>IF(AND(SUM(AO362:AP362)&gt;0,AP362=0,AD362="Yes"),1,0)</f>
        <v>0</v>
      </c>
      <c r="AT362" s="8">
        <f>IF(AG362&gt;$AN$357,1,0)</f>
        <v>0</v>
      </c>
      <c r="AW362" s="8">
        <f>IF(AND(AD362="No",AP362&gt;0),1,0)</f>
        <v>0</v>
      </c>
      <c r="AY362" s="8">
        <f>IF(AG362&gt;$AN$361,1,0)</f>
        <v>0</v>
      </c>
    </row>
    <row r="363" spans="1:54" s="109" customFormat="1" ht="11.25" x14ac:dyDescent="0.2">
      <c r="A363" s="284"/>
      <c r="B363" s="403"/>
      <c r="C363" s="37">
        <v>6</v>
      </c>
      <c r="D363" s="95" t="s">
        <v>497</v>
      </c>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267"/>
      <c r="AE363" s="268"/>
      <c r="AF363" s="269"/>
      <c r="AG363" s="273">
        <v>0</v>
      </c>
      <c r="AH363" s="274"/>
      <c r="AI363" s="274"/>
      <c r="AJ363" s="274"/>
      <c r="AK363" s="274"/>
      <c r="AL363" s="275"/>
      <c r="AN363" s="8" t="s">
        <v>421</v>
      </c>
      <c r="AO363" s="157">
        <f t="shared" ref="AO363:AO364" si="53">IF(AD363=0,0,1)</f>
        <v>0</v>
      </c>
      <c r="AP363" s="157">
        <f t="shared" ref="AP363:AP364" si="54">IF(AG363=0,0,1)</f>
        <v>0</v>
      </c>
      <c r="AQ363" s="156"/>
      <c r="AR363" s="160">
        <f t="shared" ref="AR363:AR364" si="55">IF(AND(SUM(AO363:AP363)&gt;0,AO363=0),1,0)</f>
        <v>0</v>
      </c>
      <c r="AS363" s="160">
        <f t="shared" ref="AS363:AS364" si="56">IF(AND(SUM(AO363:AP363)&gt;0,AP363=0,AD363="Yes"),1,0)</f>
        <v>0</v>
      </c>
      <c r="AT363" s="8">
        <f t="shared" ref="AT363:AT364" si="57">IF(AG363&gt;$AN$357,1,0)</f>
        <v>0</v>
      </c>
      <c r="AW363" s="8">
        <f t="shared" ref="AW363:AW364" si="58">IF(AND(AD363="No",AP363&gt;0),1,0)</f>
        <v>0</v>
      </c>
      <c r="AY363" s="8">
        <f t="shared" ref="AY363:AY364" si="59">IF(AG363&gt;$AN$361,1,0)</f>
        <v>0</v>
      </c>
    </row>
    <row r="364" spans="1:54" s="109" customFormat="1" ht="11.25" x14ac:dyDescent="0.2">
      <c r="A364" s="284"/>
      <c r="B364" s="403"/>
      <c r="C364" s="37">
        <v>7</v>
      </c>
      <c r="D364" s="95" t="s">
        <v>262</v>
      </c>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267"/>
      <c r="AE364" s="268"/>
      <c r="AF364" s="269"/>
      <c r="AG364" s="273">
        <v>0</v>
      </c>
      <c r="AH364" s="274"/>
      <c r="AI364" s="274"/>
      <c r="AJ364" s="274"/>
      <c r="AK364" s="274"/>
      <c r="AL364" s="275"/>
      <c r="AN364" s="8">
        <f>AG378</f>
        <v>0</v>
      </c>
      <c r="AO364" s="157">
        <f t="shared" si="53"/>
        <v>0</v>
      </c>
      <c r="AP364" s="157">
        <f t="shared" si="54"/>
        <v>0</v>
      </c>
      <c r="AQ364" s="156"/>
      <c r="AR364" s="160">
        <f t="shared" si="55"/>
        <v>0</v>
      </c>
      <c r="AS364" s="160">
        <f t="shared" si="56"/>
        <v>0</v>
      </c>
      <c r="AT364" s="8">
        <f t="shared" si="57"/>
        <v>0</v>
      </c>
      <c r="AW364" s="8">
        <f t="shared" si="58"/>
        <v>0</v>
      </c>
      <c r="AY364" s="8">
        <f t="shared" si="59"/>
        <v>0</v>
      </c>
    </row>
    <row r="365" spans="1:54" s="109" customFormat="1" ht="11.25" x14ac:dyDescent="0.2">
      <c r="A365" s="284"/>
      <c r="B365" s="403"/>
      <c r="C365" s="101" t="s">
        <v>90</v>
      </c>
      <c r="D365" s="128"/>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270" t="s">
        <v>375</v>
      </c>
      <c r="AE365" s="271"/>
      <c r="AF365" s="272"/>
      <c r="AG365" s="128"/>
      <c r="AH365" s="128"/>
      <c r="AI365" s="128"/>
      <c r="AJ365" s="128"/>
      <c r="AK365" s="128"/>
      <c r="AL365" s="129"/>
      <c r="AN365" s="8" t="s">
        <v>414</v>
      </c>
      <c r="AO365" s="159"/>
      <c r="AP365" s="157"/>
      <c r="AQ365" s="156"/>
      <c r="AR365" s="160"/>
      <c r="AS365" s="160"/>
      <c r="AT365" s="8"/>
      <c r="AW365" s="8"/>
      <c r="BB365" s="109" t="s">
        <v>375</v>
      </c>
    </row>
    <row r="366" spans="1:54" s="109" customFormat="1" ht="11.25" x14ac:dyDescent="0.2">
      <c r="A366" s="284"/>
      <c r="B366" s="403"/>
      <c r="C366" s="37">
        <v>8</v>
      </c>
      <c r="D366" s="95" t="s">
        <v>238</v>
      </c>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267"/>
      <c r="AE366" s="268"/>
      <c r="AF366" s="269"/>
      <c r="AG366" s="273">
        <v>0</v>
      </c>
      <c r="AH366" s="274"/>
      <c r="AI366" s="274"/>
      <c r="AJ366" s="274"/>
      <c r="AK366" s="274"/>
      <c r="AL366" s="275"/>
      <c r="AN366" s="8">
        <f>AN357-AG378</f>
        <v>0</v>
      </c>
      <c r="AO366" s="157">
        <f t="shared" ref="AO366:AO378" si="60">IF(AD366=0,0,1)</f>
        <v>0</v>
      </c>
      <c r="AP366" s="157">
        <f t="shared" ref="AP366:AP378" si="61">IF(AG366=0,0,1)</f>
        <v>0</v>
      </c>
      <c r="AQ366" s="156"/>
      <c r="AR366" s="160">
        <f>IF(AND(SUM(AO366:AP366)&gt;0,AO366=0),1,0)</f>
        <v>0</v>
      </c>
      <c r="AS366" s="160">
        <f t="shared" ref="AS366:AS378" si="62">IF(AND(SUM(AO366:AP366)&gt;0,AP366=0,AD366="Yes"),1,0)</f>
        <v>0</v>
      </c>
      <c r="AT366" s="8">
        <f>IF(AG366&gt;$AN$357,1,0)</f>
        <v>0</v>
      </c>
      <c r="AW366" s="8">
        <f t="shared" ref="AW366:AW375" si="63">IF(AND(AD366="No",AP366&gt;0),1,0)</f>
        <v>0</v>
      </c>
      <c r="AZ366" s="8">
        <f t="shared" ref="AZ366:AZ377" si="64">IF(AG366&gt;$AN$366,1,0)</f>
        <v>0</v>
      </c>
      <c r="BA366" s="8">
        <f>IF(SUM(AG366:AL377)&lt;AN366,1,0)</f>
        <v>0</v>
      </c>
      <c r="BB366" s="8">
        <f t="shared" ref="BB366:BB378" si="65">IF(AD366="Yes",1,0)</f>
        <v>0</v>
      </c>
    </row>
    <row r="367" spans="1:54" s="109" customFormat="1" ht="11.25" x14ac:dyDescent="0.2">
      <c r="A367" s="284"/>
      <c r="B367" s="403"/>
      <c r="C367" s="37">
        <v>9</v>
      </c>
      <c r="D367" s="95" t="s">
        <v>239</v>
      </c>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267"/>
      <c r="AE367" s="268"/>
      <c r="AF367" s="269"/>
      <c r="AG367" s="273">
        <v>0</v>
      </c>
      <c r="AH367" s="274"/>
      <c r="AI367" s="274"/>
      <c r="AJ367" s="274"/>
      <c r="AK367" s="274"/>
      <c r="AL367" s="275"/>
      <c r="AO367" s="157">
        <f t="shared" si="60"/>
        <v>0</v>
      </c>
      <c r="AP367" s="157">
        <f t="shared" si="61"/>
        <v>0</v>
      </c>
      <c r="AQ367" s="156"/>
      <c r="AR367" s="160">
        <f t="shared" ref="AR367:AR378" si="66">IF(AND(SUM(AO367:AP367)&gt;0,AO367=0),1,0)</f>
        <v>0</v>
      </c>
      <c r="AS367" s="160">
        <f t="shared" si="62"/>
        <v>0</v>
      </c>
      <c r="AT367" s="8">
        <f t="shared" ref="AT367:AT385" si="67">IF(AG367&gt;$AN$357,1,0)</f>
        <v>0</v>
      </c>
      <c r="AW367" s="8">
        <f t="shared" si="63"/>
        <v>0</v>
      </c>
      <c r="AZ367" s="8">
        <f t="shared" si="64"/>
        <v>0</v>
      </c>
      <c r="BB367" s="8">
        <f t="shared" si="65"/>
        <v>0</v>
      </c>
    </row>
    <row r="368" spans="1:54" s="109" customFormat="1" ht="11.25" x14ac:dyDescent="0.2">
      <c r="A368" s="284"/>
      <c r="B368" s="403"/>
      <c r="C368" s="37">
        <v>10</v>
      </c>
      <c r="D368" s="95" t="s">
        <v>240</v>
      </c>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267"/>
      <c r="AE368" s="268"/>
      <c r="AF368" s="269"/>
      <c r="AG368" s="273">
        <v>0</v>
      </c>
      <c r="AH368" s="274"/>
      <c r="AI368" s="274"/>
      <c r="AJ368" s="274"/>
      <c r="AK368" s="274"/>
      <c r="AL368" s="275"/>
      <c r="AO368" s="157">
        <f t="shared" si="60"/>
        <v>0</v>
      </c>
      <c r="AP368" s="157">
        <f t="shared" si="61"/>
        <v>0</v>
      </c>
      <c r="AQ368" s="156"/>
      <c r="AR368" s="160">
        <f t="shared" si="66"/>
        <v>0</v>
      </c>
      <c r="AS368" s="160">
        <f t="shared" si="62"/>
        <v>0</v>
      </c>
      <c r="AT368" s="8">
        <f t="shared" si="67"/>
        <v>0</v>
      </c>
      <c r="AW368" s="8">
        <f t="shared" si="63"/>
        <v>0</v>
      </c>
      <c r="AZ368" s="8">
        <f t="shared" si="64"/>
        <v>0</v>
      </c>
      <c r="BB368" s="8">
        <f t="shared" si="65"/>
        <v>0</v>
      </c>
    </row>
    <row r="369" spans="1:54" s="109" customFormat="1" ht="11.25" x14ac:dyDescent="0.2">
      <c r="A369" s="284"/>
      <c r="B369" s="403"/>
      <c r="C369" s="37">
        <v>11</v>
      </c>
      <c r="D369" s="95" t="s">
        <v>241</v>
      </c>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267"/>
      <c r="AE369" s="268"/>
      <c r="AF369" s="269"/>
      <c r="AG369" s="273">
        <v>0</v>
      </c>
      <c r="AH369" s="274"/>
      <c r="AI369" s="274"/>
      <c r="AJ369" s="274"/>
      <c r="AK369" s="274"/>
      <c r="AL369" s="275"/>
      <c r="AO369" s="157">
        <f t="shared" si="60"/>
        <v>0</v>
      </c>
      <c r="AP369" s="157">
        <f t="shared" si="61"/>
        <v>0</v>
      </c>
      <c r="AQ369" s="156"/>
      <c r="AR369" s="160">
        <f t="shared" si="66"/>
        <v>0</v>
      </c>
      <c r="AS369" s="160">
        <f t="shared" si="62"/>
        <v>0</v>
      </c>
      <c r="AT369" s="8">
        <f t="shared" si="67"/>
        <v>0</v>
      </c>
      <c r="AW369" s="8">
        <f t="shared" si="63"/>
        <v>0</v>
      </c>
      <c r="AZ369" s="8">
        <f t="shared" si="64"/>
        <v>0</v>
      </c>
      <c r="BB369" s="8">
        <f t="shared" si="65"/>
        <v>0</v>
      </c>
    </row>
    <row r="370" spans="1:54" s="109" customFormat="1" ht="11.25" x14ac:dyDescent="0.2">
      <c r="A370" s="284"/>
      <c r="B370" s="403"/>
      <c r="C370" s="37">
        <v>12</v>
      </c>
      <c r="D370" s="95" t="s">
        <v>402</v>
      </c>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267"/>
      <c r="AE370" s="268"/>
      <c r="AF370" s="269"/>
      <c r="AG370" s="273">
        <v>0</v>
      </c>
      <c r="AH370" s="274"/>
      <c r="AI370" s="274"/>
      <c r="AJ370" s="274"/>
      <c r="AK370" s="274"/>
      <c r="AL370" s="275"/>
      <c r="AO370" s="157">
        <f t="shared" si="60"/>
        <v>0</v>
      </c>
      <c r="AP370" s="157">
        <f t="shared" si="61"/>
        <v>0</v>
      </c>
      <c r="AQ370" s="156"/>
      <c r="AR370" s="160">
        <f t="shared" si="66"/>
        <v>0</v>
      </c>
      <c r="AS370" s="160">
        <f t="shared" si="62"/>
        <v>0</v>
      </c>
      <c r="AT370" s="8">
        <f t="shared" si="67"/>
        <v>0</v>
      </c>
      <c r="AW370" s="8">
        <f t="shared" si="63"/>
        <v>0</v>
      </c>
      <c r="AZ370" s="8">
        <f t="shared" si="64"/>
        <v>0</v>
      </c>
      <c r="BB370" s="8">
        <f t="shared" si="65"/>
        <v>0</v>
      </c>
    </row>
    <row r="371" spans="1:54" s="109" customFormat="1" ht="11.25" x14ac:dyDescent="0.2">
      <c r="A371" s="284"/>
      <c r="B371" s="403"/>
      <c r="C371" s="37">
        <v>13</v>
      </c>
      <c r="D371" s="95" t="s">
        <v>403</v>
      </c>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267"/>
      <c r="AE371" s="268"/>
      <c r="AF371" s="269"/>
      <c r="AG371" s="273">
        <v>0</v>
      </c>
      <c r="AH371" s="274"/>
      <c r="AI371" s="274"/>
      <c r="AJ371" s="274"/>
      <c r="AK371" s="274"/>
      <c r="AL371" s="275"/>
      <c r="AO371" s="157">
        <f t="shared" si="60"/>
        <v>0</v>
      </c>
      <c r="AP371" s="157">
        <f t="shared" si="61"/>
        <v>0</v>
      </c>
      <c r="AQ371" s="156"/>
      <c r="AR371" s="160">
        <f t="shared" si="66"/>
        <v>0</v>
      </c>
      <c r="AS371" s="160">
        <f t="shared" si="62"/>
        <v>0</v>
      </c>
      <c r="AT371" s="8">
        <f t="shared" si="67"/>
        <v>0</v>
      </c>
      <c r="AW371" s="8">
        <f t="shared" si="63"/>
        <v>0</v>
      </c>
      <c r="AZ371" s="8">
        <f t="shared" si="64"/>
        <v>0</v>
      </c>
      <c r="BB371" s="8">
        <f t="shared" si="65"/>
        <v>0</v>
      </c>
    </row>
    <row r="372" spans="1:54" s="109" customFormat="1" ht="11.25" x14ac:dyDescent="0.2">
      <c r="A372" s="284"/>
      <c r="B372" s="403"/>
      <c r="C372" s="37">
        <v>14</v>
      </c>
      <c r="D372" s="95" t="s">
        <v>404</v>
      </c>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267"/>
      <c r="AE372" s="268"/>
      <c r="AF372" s="269"/>
      <c r="AG372" s="273">
        <v>0</v>
      </c>
      <c r="AH372" s="274"/>
      <c r="AI372" s="274"/>
      <c r="AJ372" s="274"/>
      <c r="AK372" s="274"/>
      <c r="AL372" s="275"/>
      <c r="AO372" s="157">
        <f t="shared" si="60"/>
        <v>0</v>
      </c>
      <c r="AP372" s="157">
        <f t="shared" si="61"/>
        <v>0</v>
      </c>
      <c r="AQ372" s="156"/>
      <c r="AR372" s="160">
        <f t="shared" si="66"/>
        <v>0</v>
      </c>
      <c r="AS372" s="160">
        <f t="shared" si="62"/>
        <v>0</v>
      </c>
      <c r="AT372" s="8">
        <f t="shared" si="67"/>
        <v>0</v>
      </c>
      <c r="AW372" s="8">
        <f t="shared" si="63"/>
        <v>0</v>
      </c>
      <c r="AZ372" s="8">
        <f t="shared" si="64"/>
        <v>0</v>
      </c>
      <c r="BB372" s="8">
        <f t="shared" si="65"/>
        <v>0</v>
      </c>
    </row>
    <row r="373" spans="1:54" s="109" customFormat="1" ht="11.25" x14ac:dyDescent="0.2">
      <c r="A373" s="284"/>
      <c r="B373" s="403"/>
      <c r="C373" s="37">
        <v>15</v>
      </c>
      <c r="D373" s="95" t="s">
        <v>242</v>
      </c>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267"/>
      <c r="AE373" s="268"/>
      <c r="AF373" s="269"/>
      <c r="AG373" s="273">
        <v>0</v>
      </c>
      <c r="AH373" s="274"/>
      <c r="AI373" s="274"/>
      <c r="AJ373" s="274"/>
      <c r="AK373" s="274"/>
      <c r="AL373" s="275"/>
      <c r="AO373" s="157">
        <f t="shared" si="60"/>
        <v>0</v>
      </c>
      <c r="AP373" s="157">
        <f t="shared" si="61"/>
        <v>0</v>
      </c>
      <c r="AQ373" s="156"/>
      <c r="AR373" s="160">
        <f t="shared" si="66"/>
        <v>0</v>
      </c>
      <c r="AS373" s="160">
        <f t="shared" si="62"/>
        <v>0</v>
      </c>
      <c r="AT373" s="8">
        <f t="shared" si="67"/>
        <v>0</v>
      </c>
      <c r="AW373" s="8">
        <f t="shared" si="63"/>
        <v>0</v>
      </c>
      <c r="AZ373" s="8">
        <f t="shared" si="64"/>
        <v>0</v>
      </c>
      <c r="BB373" s="8">
        <f t="shared" si="65"/>
        <v>0</v>
      </c>
    </row>
    <row r="374" spans="1:54" s="109" customFormat="1" ht="11.25" x14ac:dyDescent="0.2">
      <c r="A374" s="284"/>
      <c r="B374" s="403"/>
      <c r="C374" s="37">
        <v>16</v>
      </c>
      <c r="D374" s="95" t="s">
        <v>251</v>
      </c>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267"/>
      <c r="AE374" s="268"/>
      <c r="AF374" s="269"/>
      <c r="AG374" s="273">
        <v>0</v>
      </c>
      <c r="AH374" s="274"/>
      <c r="AI374" s="274"/>
      <c r="AJ374" s="274"/>
      <c r="AK374" s="274"/>
      <c r="AL374" s="275"/>
      <c r="AO374" s="157">
        <f t="shared" si="60"/>
        <v>0</v>
      </c>
      <c r="AP374" s="157">
        <f t="shared" si="61"/>
        <v>0</v>
      </c>
      <c r="AQ374" s="156"/>
      <c r="AR374" s="160">
        <f t="shared" si="66"/>
        <v>0</v>
      </c>
      <c r="AS374" s="160">
        <f t="shared" si="62"/>
        <v>0</v>
      </c>
      <c r="AT374" s="8">
        <f t="shared" si="67"/>
        <v>0</v>
      </c>
      <c r="AW374" s="8">
        <f t="shared" si="63"/>
        <v>0</v>
      </c>
      <c r="AZ374" s="8">
        <f t="shared" si="64"/>
        <v>0</v>
      </c>
      <c r="BB374" s="8">
        <f t="shared" si="65"/>
        <v>0</v>
      </c>
    </row>
    <row r="375" spans="1:54" s="109" customFormat="1" ht="11.25" x14ac:dyDescent="0.2">
      <c r="A375" s="284"/>
      <c r="B375" s="403"/>
      <c r="C375" s="37">
        <v>17</v>
      </c>
      <c r="D375" s="95" t="s">
        <v>252</v>
      </c>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267"/>
      <c r="AE375" s="268"/>
      <c r="AF375" s="269"/>
      <c r="AG375" s="273">
        <v>0</v>
      </c>
      <c r="AH375" s="274"/>
      <c r="AI375" s="274"/>
      <c r="AJ375" s="274"/>
      <c r="AK375" s="274"/>
      <c r="AL375" s="275"/>
      <c r="AO375" s="157">
        <f t="shared" si="60"/>
        <v>0</v>
      </c>
      <c r="AP375" s="157">
        <f t="shared" si="61"/>
        <v>0</v>
      </c>
      <c r="AQ375" s="156"/>
      <c r="AR375" s="160">
        <f t="shared" si="66"/>
        <v>0</v>
      </c>
      <c r="AS375" s="160">
        <f t="shared" si="62"/>
        <v>0</v>
      </c>
      <c r="AT375" s="8">
        <f t="shared" si="67"/>
        <v>0</v>
      </c>
      <c r="AW375" s="8">
        <f t="shared" si="63"/>
        <v>0</v>
      </c>
      <c r="AZ375" s="8">
        <f t="shared" si="64"/>
        <v>0</v>
      </c>
      <c r="BB375" s="8">
        <f t="shared" si="65"/>
        <v>0</v>
      </c>
    </row>
    <row r="376" spans="1:54" s="109" customFormat="1" ht="11.25" x14ac:dyDescent="0.2">
      <c r="A376" s="284"/>
      <c r="B376" s="403"/>
      <c r="C376" s="37">
        <v>18</v>
      </c>
      <c r="D376" s="95" t="s">
        <v>253</v>
      </c>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267"/>
      <c r="AE376" s="268"/>
      <c r="AF376" s="269"/>
      <c r="AG376" s="273">
        <v>0</v>
      </c>
      <c r="AH376" s="274"/>
      <c r="AI376" s="274"/>
      <c r="AJ376" s="274"/>
      <c r="AK376" s="274"/>
      <c r="AL376" s="275"/>
      <c r="AO376" s="157">
        <f t="shared" si="60"/>
        <v>0</v>
      </c>
      <c r="AP376" s="157">
        <f t="shared" si="61"/>
        <v>0</v>
      </c>
      <c r="AQ376" s="156"/>
      <c r="AR376" s="160">
        <f t="shared" si="66"/>
        <v>0</v>
      </c>
      <c r="AS376" s="160">
        <f t="shared" si="62"/>
        <v>0</v>
      </c>
      <c r="AT376" s="8">
        <f t="shared" si="67"/>
        <v>0</v>
      </c>
      <c r="AW376" s="8">
        <f>IF(AND(AD376="No",AP376&gt;0),1,0)</f>
        <v>0</v>
      </c>
      <c r="AZ376" s="8">
        <f t="shared" si="64"/>
        <v>0</v>
      </c>
      <c r="BB376" s="8">
        <f t="shared" si="65"/>
        <v>0</v>
      </c>
    </row>
    <row r="377" spans="1:54" s="109" customFormat="1" ht="11.25" x14ac:dyDescent="0.2">
      <c r="A377" s="284"/>
      <c r="B377" s="403"/>
      <c r="C377" s="37">
        <v>19</v>
      </c>
      <c r="D377" s="95" t="s">
        <v>270</v>
      </c>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267"/>
      <c r="AE377" s="268"/>
      <c r="AF377" s="269"/>
      <c r="AG377" s="273">
        <v>0</v>
      </c>
      <c r="AH377" s="274"/>
      <c r="AI377" s="274"/>
      <c r="AJ377" s="274"/>
      <c r="AK377" s="274"/>
      <c r="AL377" s="275"/>
      <c r="AO377" s="157">
        <f t="shared" si="60"/>
        <v>0</v>
      </c>
      <c r="AP377" s="157">
        <f t="shared" si="61"/>
        <v>0</v>
      </c>
      <c r="AQ377" s="156"/>
      <c r="AR377" s="160">
        <f t="shared" si="66"/>
        <v>0</v>
      </c>
      <c r="AS377" s="160">
        <f t="shared" si="62"/>
        <v>0</v>
      </c>
      <c r="AT377" s="8">
        <f t="shared" si="67"/>
        <v>0</v>
      </c>
      <c r="AW377" s="8">
        <f t="shared" ref="AW377:AW378" si="68">IF(AND(AD377="No",AP377&gt;0),1,0)</f>
        <v>0</v>
      </c>
      <c r="AZ377" s="8">
        <f t="shared" si="64"/>
        <v>0</v>
      </c>
      <c r="BB377" s="8">
        <f t="shared" si="65"/>
        <v>0</v>
      </c>
    </row>
    <row r="378" spans="1:54" s="109" customFormat="1" ht="11.25" x14ac:dyDescent="0.2">
      <c r="A378" s="284"/>
      <c r="B378" s="403"/>
      <c r="C378" s="37">
        <v>20</v>
      </c>
      <c r="D378" s="95" t="s">
        <v>243</v>
      </c>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267"/>
      <c r="AE378" s="268"/>
      <c r="AF378" s="269"/>
      <c r="AG378" s="273">
        <v>0</v>
      </c>
      <c r="AH378" s="274"/>
      <c r="AI378" s="274"/>
      <c r="AJ378" s="274"/>
      <c r="AK378" s="274"/>
      <c r="AL378" s="275"/>
      <c r="AO378" s="157">
        <f t="shared" si="60"/>
        <v>0</v>
      </c>
      <c r="AP378" s="157">
        <f t="shared" si="61"/>
        <v>0</v>
      </c>
      <c r="AQ378" s="156"/>
      <c r="AR378" s="160">
        <f t="shared" si="66"/>
        <v>0</v>
      </c>
      <c r="AS378" s="160">
        <f t="shared" si="62"/>
        <v>0</v>
      </c>
      <c r="AT378" s="8">
        <f t="shared" si="67"/>
        <v>0</v>
      </c>
      <c r="AU378" s="8">
        <f>IF(AND(AM357=1,SUM(BB366:BB378)=0),1,0)</f>
        <v>0</v>
      </c>
      <c r="AV378" s="8">
        <f>IF(AND(AM357=1,SUM(AO366:AO378)&gt;0,SUM(AP366:AP377)=0,SUM(AR366:AS378)=0,SUM(AT366:AT378)=0,AP378&gt;0,AG378&lt;&gt;AN357),1,0)</f>
        <v>0</v>
      </c>
      <c r="AW378" s="8">
        <f t="shared" si="68"/>
        <v>0</v>
      </c>
      <c r="AY378" s="8"/>
      <c r="BB378" s="8">
        <f t="shared" si="65"/>
        <v>0</v>
      </c>
    </row>
    <row r="379" spans="1:54" s="109" customFormat="1" ht="11.25" x14ac:dyDescent="0.2">
      <c r="A379" s="284"/>
      <c r="B379" s="403"/>
      <c r="C379" s="101" t="s">
        <v>244</v>
      </c>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31"/>
      <c r="Z379" s="131"/>
      <c r="AA379" s="131"/>
      <c r="AB379" s="131"/>
      <c r="AC379" s="131"/>
      <c r="AD379" s="270" t="s">
        <v>375</v>
      </c>
      <c r="AE379" s="271"/>
      <c r="AF379" s="272"/>
      <c r="AG379" s="128"/>
      <c r="AH379" s="128"/>
      <c r="AI379" s="128"/>
      <c r="AJ379" s="128"/>
      <c r="AK379" s="128"/>
      <c r="AL379" s="129"/>
      <c r="AN379" s="8" t="s">
        <v>425</v>
      </c>
      <c r="AO379" s="159"/>
      <c r="AP379" s="157"/>
      <c r="AQ379" s="156"/>
      <c r="AR379" s="160"/>
      <c r="AS379" s="160"/>
      <c r="AT379" s="8"/>
      <c r="AW379" s="8"/>
    </row>
    <row r="380" spans="1:54" s="109" customFormat="1" ht="11.25" x14ac:dyDescent="0.2">
      <c r="A380" s="284"/>
      <c r="B380" s="403"/>
      <c r="C380" s="37">
        <v>21</v>
      </c>
      <c r="D380" s="95" t="s">
        <v>245</v>
      </c>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267"/>
      <c r="AE380" s="268"/>
      <c r="AF380" s="269"/>
      <c r="AG380" s="273">
        <v>0</v>
      </c>
      <c r="AH380" s="274"/>
      <c r="AI380" s="274"/>
      <c r="AJ380" s="274"/>
      <c r="AK380" s="274"/>
      <c r="AL380" s="275"/>
      <c r="AN380" s="8">
        <f>MAX(AG380:AL385)</f>
        <v>0</v>
      </c>
      <c r="AO380" s="157">
        <f t="shared" ref="AO380:AO385" si="69">IF(AD380=0,0,1)</f>
        <v>0</v>
      </c>
      <c r="AP380" s="157">
        <f t="shared" ref="AP380:AP385" si="70">IF(AG380=0,0,1)</f>
        <v>0</v>
      </c>
      <c r="AQ380" s="156"/>
      <c r="AR380" s="160">
        <f t="shared" ref="AR380:AR385" si="71">IF(AND(SUM(AO380:AP380)&gt;0,AO380=0),1,0)</f>
        <v>0</v>
      </c>
      <c r="AS380" s="160">
        <f t="shared" ref="AS380:AS385" si="72">IF(AND(SUM(AO380:AP380)&gt;0,AP380=0,AD380="Yes"),1,0)</f>
        <v>0</v>
      </c>
      <c r="AT380" s="8">
        <f t="shared" si="67"/>
        <v>0</v>
      </c>
      <c r="AW380" s="8">
        <f t="shared" ref="AW380:AW385" si="73">IF(AND(AD380="No",AP380&gt;0),1,0)</f>
        <v>0</v>
      </c>
    </row>
    <row r="381" spans="1:54" s="109" customFormat="1" ht="11.25" x14ac:dyDescent="0.2">
      <c r="A381" s="284"/>
      <c r="B381" s="403"/>
      <c r="C381" s="37">
        <v>22</v>
      </c>
      <c r="D381" s="95" t="s">
        <v>246</v>
      </c>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267"/>
      <c r="AE381" s="268"/>
      <c r="AF381" s="269"/>
      <c r="AG381" s="273">
        <v>0</v>
      </c>
      <c r="AH381" s="274"/>
      <c r="AI381" s="274"/>
      <c r="AJ381" s="274"/>
      <c r="AK381" s="274"/>
      <c r="AL381" s="275"/>
      <c r="AO381" s="157">
        <f t="shared" si="69"/>
        <v>0</v>
      </c>
      <c r="AP381" s="157">
        <f t="shared" si="70"/>
        <v>0</v>
      </c>
      <c r="AQ381" s="156"/>
      <c r="AR381" s="160">
        <f t="shared" si="71"/>
        <v>0</v>
      </c>
      <c r="AS381" s="160">
        <f t="shared" si="72"/>
        <v>0</v>
      </c>
      <c r="AT381" s="8">
        <f t="shared" si="67"/>
        <v>0</v>
      </c>
      <c r="AW381" s="8">
        <f t="shared" si="73"/>
        <v>0</v>
      </c>
    </row>
    <row r="382" spans="1:54" s="109" customFormat="1" ht="11.25" x14ac:dyDescent="0.2">
      <c r="A382" s="284"/>
      <c r="B382" s="403"/>
      <c r="C382" s="37">
        <v>23</v>
      </c>
      <c r="D382" s="95" t="s">
        <v>247</v>
      </c>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267"/>
      <c r="AE382" s="268"/>
      <c r="AF382" s="269"/>
      <c r="AG382" s="273">
        <v>0</v>
      </c>
      <c r="AH382" s="274"/>
      <c r="AI382" s="274"/>
      <c r="AJ382" s="274"/>
      <c r="AK382" s="274"/>
      <c r="AL382" s="275"/>
      <c r="AO382" s="157">
        <f t="shared" si="69"/>
        <v>0</v>
      </c>
      <c r="AP382" s="157">
        <f t="shared" si="70"/>
        <v>0</v>
      </c>
      <c r="AQ382" s="156"/>
      <c r="AR382" s="160">
        <f t="shared" si="71"/>
        <v>0</v>
      </c>
      <c r="AS382" s="160">
        <f t="shared" si="72"/>
        <v>0</v>
      </c>
      <c r="AT382" s="8">
        <f t="shared" si="67"/>
        <v>0</v>
      </c>
      <c r="AW382" s="8">
        <f t="shared" si="73"/>
        <v>0</v>
      </c>
    </row>
    <row r="383" spans="1:54" s="109" customFormat="1" ht="11.25" x14ac:dyDescent="0.2">
      <c r="A383" s="284"/>
      <c r="B383" s="403"/>
      <c r="C383" s="37">
        <v>24</v>
      </c>
      <c r="D383" s="95" t="s">
        <v>248</v>
      </c>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267"/>
      <c r="AE383" s="268"/>
      <c r="AF383" s="269"/>
      <c r="AG383" s="273">
        <v>0</v>
      </c>
      <c r="AH383" s="274"/>
      <c r="AI383" s="274"/>
      <c r="AJ383" s="274"/>
      <c r="AK383" s="274"/>
      <c r="AL383" s="275"/>
      <c r="AO383" s="157">
        <f t="shared" si="69"/>
        <v>0</v>
      </c>
      <c r="AP383" s="157">
        <f t="shared" si="70"/>
        <v>0</v>
      </c>
      <c r="AQ383" s="156"/>
      <c r="AR383" s="160">
        <f t="shared" si="71"/>
        <v>0</v>
      </c>
      <c r="AS383" s="160">
        <f t="shared" si="72"/>
        <v>0</v>
      </c>
      <c r="AT383" s="8">
        <f t="shared" si="67"/>
        <v>0</v>
      </c>
      <c r="AW383" s="8">
        <f t="shared" si="73"/>
        <v>0</v>
      </c>
    </row>
    <row r="384" spans="1:54" s="109" customFormat="1" ht="11.25" x14ac:dyDescent="0.2">
      <c r="A384" s="284"/>
      <c r="B384" s="403"/>
      <c r="C384" s="37">
        <v>25</v>
      </c>
      <c r="D384" s="95" t="s">
        <v>249</v>
      </c>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267"/>
      <c r="AE384" s="268"/>
      <c r="AF384" s="269"/>
      <c r="AG384" s="273">
        <v>0</v>
      </c>
      <c r="AH384" s="274"/>
      <c r="AI384" s="274"/>
      <c r="AJ384" s="274"/>
      <c r="AK384" s="274"/>
      <c r="AL384" s="275"/>
      <c r="AO384" s="157">
        <f t="shared" si="69"/>
        <v>0</v>
      </c>
      <c r="AP384" s="157">
        <f t="shared" si="70"/>
        <v>0</v>
      </c>
      <c r="AQ384" s="156"/>
      <c r="AR384" s="160">
        <f t="shared" si="71"/>
        <v>0</v>
      </c>
      <c r="AS384" s="160">
        <f t="shared" si="72"/>
        <v>0</v>
      </c>
      <c r="AT384" s="8">
        <f t="shared" si="67"/>
        <v>0</v>
      </c>
      <c r="AW384" s="8">
        <f t="shared" si="73"/>
        <v>0</v>
      </c>
    </row>
    <row r="385" spans="1:51" s="109" customFormat="1" ht="11.25" x14ac:dyDescent="0.2">
      <c r="A385" s="284"/>
      <c r="B385" s="403"/>
      <c r="C385" s="37">
        <v>26</v>
      </c>
      <c r="D385" s="95" t="s">
        <v>250</v>
      </c>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267"/>
      <c r="AE385" s="268"/>
      <c r="AF385" s="269"/>
      <c r="AG385" s="273">
        <v>0</v>
      </c>
      <c r="AH385" s="274"/>
      <c r="AI385" s="274"/>
      <c r="AJ385" s="274"/>
      <c r="AK385" s="274"/>
      <c r="AL385" s="275"/>
      <c r="AO385" s="157">
        <f t="shared" si="69"/>
        <v>0</v>
      </c>
      <c r="AP385" s="157">
        <f t="shared" si="70"/>
        <v>0</v>
      </c>
      <c r="AQ385" s="156"/>
      <c r="AR385" s="160">
        <f t="shared" si="71"/>
        <v>0</v>
      </c>
      <c r="AS385" s="160">
        <f t="shared" si="72"/>
        <v>0</v>
      </c>
      <c r="AT385" s="8">
        <f t="shared" si="67"/>
        <v>0</v>
      </c>
      <c r="AW385" s="8">
        <f t="shared" si="73"/>
        <v>0</v>
      </c>
    </row>
    <row r="386" spans="1:51" s="109" customFormat="1" ht="11.25" x14ac:dyDescent="0.2">
      <c r="A386" s="284"/>
      <c r="B386" s="403"/>
      <c r="C386" s="101" t="s">
        <v>259</v>
      </c>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31"/>
      <c r="Z386" s="131"/>
      <c r="AA386" s="131"/>
      <c r="AB386" s="131"/>
      <c r="AC386" s="131"/>
      <c r="AD386" s="131"/>
      <c r="AE386" s="131"/>
      <c r="AF386" s="131"/>
      <c r="AG386" s="128"/>
      <c r="AH386" s="128"/>
      <c r="AI386" s="128"/>
      <c r="AJ386" s="128"/>
      <c r="AK386" s="128"/>
      <c r="AL386" s="129"/>
      <c r="AN386" s="109" t="s">
        <v>510</v>
      </c>
      <c r="AO386" s="159"/>
      <c r="AP386" s="157"/>
      <c r="AQ386" s="156"/>
      <c r="AR386" s="160"/>
      <c r="AS386" s="160"/>
      <c r="AT386" s="8"/>
      <c r="AW386" s="8"/>
    </row>
    <row r="387" spans="1:51" s="109" customFormat="1" ht="11.25" x14ac:dyDescent="0.2">
      <c r="A387" s="284"/>
      <c r="B387" s="403"/>
      <c r="C387" s="37">
        <v>27</v>
      </c>
      <c r="D387" s="95" t="s">
        <v>274</v>
      </c>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c r="AG387" s="273">
        <v>0</v>
      </c>
      <c r="AH387" s="274"/>
      <c r="AI387" s="274"/>
      <c r="AJ387" s="274"/>
      <c r="AK387" s="274"/>
      <c r="AL387" s="275"/>
      <c r="AM387" s="109" t="s">
        <v>514</v>
      </c>
      <c r="AN387" s="8">
        <f>IF(B402=CONCATENATE("Error. Number of households cannot exceed ",AN357,"."),1,0)</f>
        <v>0</v>
      </c>
      <c r="AO387" s="159"/>
      <c r="AP387" s="157">
        <f t="shared" ref="AP387:AP400" si="74">IF(AG387=0,0,1)</f>
        <v>0</v>
      </c>
      <c r="AQ387" s="155">
        <f>SUM(AG387:AL401)</f>
        <v>0</v>
      </c>
      <c r="AR387" s="160"/>
      <c r="AS387" s="160"/>
      <c r="AT387" s="8"/>
      <c r="AW387" s="8"/>
    </row>
    <row r="388" spans="1:51" s="109" customFormat="1" ht="11.25" x14ac:dyDescent="0.2">
      <c r="A388" s="284"/>
      <c r="B388" s="403"/>
      <c r="C388" s="37">
        <v>28</v>
      </c>
      <c r="D388" s="95" t="s">
        <v>275</v>
      </c>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c r="AG388" s="273">
        <v>0</v>
      </c>
      <c r="AH388" s="274"/>
      <c r="AI388" s="274"/>
      <c r="AJ388" s="274"/>
      <c r="AK388" s="274"/>
      <c r="AL388" s="275"/>
      <c r="AM388" s="109" t="s">
        <v>515</v>
      </c>
      <c r="AN388" s="8">
        <f>IF(B402=CONCATENATE("Enter the number of households by income level. Total must equal ",AN357,". You've entered ",AQ357,"."),1,0)</f>
        <v>0</v>
      </c>
      <c r="AO388" s="159"/>
      <c r="AP388" s="157">
        <f t="shared" si="74"/>
        <v>0</v>
      </c>
      <c r="AQ388" s="156"/>
      <c r="AR388" s="160"/>
      <c r="AS388" s="160"/>
      <c r="AT388" s="8"/>
      <c r="AW388" s="8"/>
    </row>
    <row r="389" spans="1:51" s="109" customFormat="1" ht="11.25" x14ac:dyDescent="0.2">
      <c r="A389" s="284"/>
      <c r="B389" s="403"/>
      <c r="C389" s="37">
        <v>29</v>
      </c>
      <c r="D389" s="95" t="s">
        <v>276</v>
      </c>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c r="AG389" s="273">
        <v>0</v>
      </c>
      <c r="AH389" s="274"/>
      <c r="AI389" s="274"/>
      <c r="AJ389" s="274"/>
      <c r="AK389" s="274"/>
      <c r="AL389" s="275"/>
      <c r="AM389" s="109" t="s">
        <v>228</v>
      </c>
      <c r="AN389" s="8">
        <f>IF(B402=CONCATENATE("Error. If ",AG361," out of ",AN357," households received STRMU for the first time this year, then the number of households for each other longevity category cannot exceed ",AN361,"."),1,0)</f>
        <v>0</v>
      </c>
      <c r="AO389" s="159"/>
      <c r="AP389" s="157">
        <f t="shared" si="74"/>
        <v>0</v>
      </c>
      <c r="AQ389" s="156"/>
      <c r="AR389" s="160"/>
      <c r="AS389" s="160"/>
      <c r="AT389" s="8"/>
      <c r="AW389" s="8"/>
    </row>
    <row r="390" spans="1:51" s="109" customFormat="1" ht="11.25" x14ac:dyDescent="0.2">
      <c r="A390" s="284"/>
      <c r="B390" s="403"/>
      <c r="C390" s="37">
        <v>30</v>
      </c>
      <c r="D390" s="95" t="s">
        <v>277</v>
      </c>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273">
        <v>0</v>
      </c>
      <c r="AH390" s="274"/>
      <c r="AI390" s="274"/>
      <c r="AJ390" s="274"/>
      <c r="AK390" s="274"/>
      <c r="AL390" s="275"/>
      <c r="AM390" s="109" t="s">
        <v>542</v>
      </c>
      <c r="AN390" s="8">
        <f>IF(B402=CONCATENATE("Error. The total number of households for all longevity categories cannot be less than ",AN357,". You've entered ",AQ361,"."),1,0)</f>
        <v>0</v>
      </c>
      <c r="AO390" s="159"/>
      <c r="AP390" s="157">
        <f t="shared" si="74"/>
        <v>0</v>
      </c>
      <c r="AQ390" s="156"/>
      <c r="AR390" s="160"/>
      <c r="AS390" s="160"/>
      <c r="AT390" s="8"/>
      <c r="AW390" s="8"/>
    </row>
    <row r="391" spans="1:51" s="109" customFormat="1" ht="11.25" x14ac:dyDescent="0.2">
      <c r="A391" s="284"/>
      <c r="B391" s="403"/>
      <c r="C391" s="37">
        <v>31</v>
      </c>
      <c r="D391" s="95" t="s">
        <v>278</v>
      </c>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273">
        <v>0</v>
      </c>
      <c r="AH391" s="274"/>
      <c r="AI391" s="274"/>
      <c r="AJ391" s="274"/>
      <c r="AK391" s="274"/>
      <c r="AL391" s="275"/>
      <c r="AM391" s="109" t="s">
        <v>516</v>
      </c>
      <c r="AN391" s="8">
        <f>IF(B402=CONCATENATE("Error. If ",AG378," out of ",AN357," households had no income, then the number of households for each other income category cannot exceed ",AN366,"."),1,0)</f>
        <v>0</v>
      </c>
      <c r="AO391" s="159"/>
      <c r="AP391" s="157">
        <f t="shared" si="74"/>
        <v>0</v>
      </c>
      <c r="AQ391" s="156"/>
      <c r="AR391" s="160"/>
      <c r="AS391" s="160"/>
      <c r="AT391" s="8"/>
      <c r="AW391" s="8"/>
    </row>
    <row r="392" spans="1:51" s="109" customFormat="1" ht="11.25" x14ac:dyDescent="0.2">
      <c r="A392" s="284"/>
      <c r="B392" s="403"/>
      <c r="C392" s="37">
        <v>32</v>
      </c>
      <c r="D392" s="95" t="s">
        <v>279</v>
      </c>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c r="AG392" s="273">
        <v>0</v>
      </c>
      <c r="AH392" s="274"/>
      <c r="AI392" s="274"/>
      <c r="AJ392" s="274"/>
      <c r="AK392" s="274"/>
      <c r="AL392" s="275"/>
      <c r="AM392" s="109" t="s">
        <v>517</v>
      </c>
      <c r="AN392" s="8">
        <f>IF(B402=CONCATENATE("If no households accessed and/or maintained any sources of income, then the total number of households that had no income should equal ",AN357,"."),1,0)</f>
        <v>0</v>
      </c>
      <c r="AO392" s="159"/>
      <c r="AP392" s="157">
        <f t="shared" si="74"/>
        <v>0</v>
      </c>
      <c r="AQ392" s="156"/>
      <c r="AR392" s="160"/>
      <c r="AS392" s="160"/>
      <c r="AT392" s="8"/>
      <c r="AW392" s="8"/>
    </row>
    <row r="393" spans="1:51" s="109" customFormat="1" ht="11.25" x14ac:dyDescent="0.2">
      <c r="A393" s="284"/>
      <c r="B393" s="403"/>
      <c r="C393" s="37">
        <v>33</v>
      </c>
      <c r="D393" s="95" t="s">
        <v>288</v>
      </c>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273">
        <v>0</v>
      </c>
      <c r="AH393" s="274"/>
      <c r="AI393" s="274"/>
      <c r="AJ393" s="274"/>
      <c r="AK393" s="274"/>
      <c r="AL393" s="275"/>
      <c r="AM393" s="109" t="s">
        <v>518</v>
      </c>
      <c r="AN393" s="8">
        <f>IF(B402=CONCATENATE("Error. If ",AG378," out of ",AN357," households had no income, then the total number of households for all other income categories cannot be less than ",AN366," at minimum."),1,0)</f>
        <v>0</v>
      </c>
      <c r="AO393" s="159"/>
      <c r="AP393" s="157">
        <f t="shared" si="74"/>
        <v>0</v>
      </c>
      <c r="AQ393" s="156"/>
      <c r="AR393" s="160"/>
      <c r="AS393" s="160"/>
      <c r="AT393" s="8"/>
      <c r="AW393" s="8"/>
    </row>
    <row r="394" spans="1:51" s="109" customFormat="1" ht="11.25" x14ac:dyDescent="0.2">
      <c r="A394" s="284"/>
      <c r="B394" s="403"/>
      <c r="C394" s="37">
        <v>34</v>
      </c>
      <c r="D394" s="95" t="s">
        <v>280</v>
      </c>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273">
        <v>0</v>
      </c>
      <c r="AH394" s="274"/>
      <c r="AI394" s="274"/>
      <c r="AJ394" s="274"/>
      <c r="AK394" s="274"/>
      <c r="AL394" s="275"/>
      <c r="AM394" s="109" t="s">
        <v>519</v>
      </c>
      <c r="AN394" s="8">
        <f>IF(B402=CONCATENATE("Error. The total number of households for these income categories cannot be less than ",AN366," at minimum."),1,0)</f>
        <v>0</v>
      </c>
      <c r="AO394" s="159"/>
      <c r="AP394" s="157">
        <f t="shared" si="74"/>
        <v>0</v>
      </c>
      <c r="AQ394" s="156"/>
      <c r="AR394" s="160"/>
      <c r="AS394" s="160"/>
      <c r="AT394" s="8"/>
      <c r="AW394" s="8"/>
    </row>
    <row r="395" spans="1:51" s="109" customFormat="1" ht="11.25" x14ac:dyDescent="0.2">
      <c r="A395" s="284"/>
      <c r="B395" s="403"/>
      <c r="C395" s="37">
        <v>35</v>
      </c>
      <c r="D395" s="95" t="s">
        <v>281</v>
      </c>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273">
        <v>0</v>
      </c>
      <c r="AH395" s="274"/>
      <c r="AI395" s="274"/>
      <c r="AJ395" s="274"/>
      <c r="AK395" s="274"/>
      <c r="AL395" s="275"/>
      <c r="AM395" s="109" t="s">
        <v>520</v>
      </c>
      <c r="AN395" s="8">
        <f>IF(B402=CONCATENATE("Enter the number of households by household status. Total must equal ",AN357,". You've entered ",AQ387,"."),1,0)</f>
        <v>0</v>
      </c>
      <c r="AO395" s="159"/>
      <c r="AP395" s="157">
        <f t="shared" si="74"/>
        <v>0</v>
      </c>
      <c r="AQ395" s="156"/>
      <c r="AR395" s="160"/>
      <c r="AS395" s="160"/>
      <c r="AT395" s="8"/>
      <c r="AW395" s="8"/>
    </row>
    <row r="396" spans="1:51" s="109" customFormat="1" ht="11.25" x14ac:dyDescent="0.2">
      <c r="A396" s="284"/>
      <c r="B396" s="403"/>
      <c r="C396" s="37">
        <v>36</v>
      </c>
      <c r="D396" s="95" t="s">
        <v>282</v>
      </c>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c r="AG396" s="273">
        <v>0</v>
      </c>
      <c r="AH396" s="274"/>
      <c r="AI396" s="274"/>
      <c r="AJ396" s="274"/>
      <c r="AK396" s="274"/>
      <c r="AL396" s="275"/>
      <c r="AO396" s="159"/>
      <c r="AP396" s="157">
        <f t="shared" si="74"/>
        <v>0</v>
      </c>
      <c r="AQ396" s="156"/>
      <c r="AR396" s="160"/>
      <c r="AS396" s="160"/>
      <c r="AT396" s="8"/>
      <c r="AW396" s="8"/>
    </row>
    <row r="397" spans="1:51" s="109" customFormat="1" ht="11.25" x14ac:dyDescent="0.2">
      <c r="A397" s="284"/>
      <c r="B397" s="403"/>
      <c r="C397" s="37">
        <v>37</v>
      </c>
      <c r="D397" s="95" t="s">
        <v>287</v>
      </c>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c r="AG397" s="273">
        <v>0</v>
      </c>
      <c r="AH397" s="274"/>
      <c r="AI397" s="274"/>
      <c r="AJ397" s="274"/>
      <c r="AK397" s="274"/>
      <c r="AL397" s="275"/>
      <c r="AO397" s="159"/>
      <c r="AP397" s="157">
        <f t="shared" si="74"/>
        <v>0</v>
      </c>
      <c r="AQ397" s="156"/>
      <c r="AR397" s="160"/>
      <c r="AS397" s="160"/>
      <c r="AT397" s="8"/>
      <c r="AW397" s="8"/>
    </row>
    <row r="398" spans="1:51" s="109" customFormat="1" ht="11.25" x14ac:dyDescent="0.2">
      <c r="A398" s="284"/>
      <c r="B398" s="403"/>
      <c r="C398" s="37">
        <v>38</v>
      </c>
      <c r="D398" s="95" t="s">
        <v>283</v>
      </c>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c r="AG398" s="273">
        <v>0</v>
      </c>
      <c r="AH398" s="274"/>
      <c r="AI398" s="274"/>
      <c r="AJ398" s="274"/>
      <c r="AK398" s="274"/>
      <c r="AL398" s="275"/>
      <c r="AO398" s="159"/>
      <c r="AP398" s="157">
        <f t="shared" si="74"/>
        <v>0</v>
      </c>
      <c r="AQ398" s="156"/>
      <c r="AR398" s="160"/>
      <c r="AS398" s="160"/>
      <c r="AT398" s="8"/>
      <c r="AW398" s="8"/>
    </row>
    <row r="399" spans="1:51" s="109" customFormat="1" ht="12.75" x14ac:dyDescent="0.2">
      <c r="A399" s="284"/>
      <c r="B399" s="403"/>
      <c r="C399" s="37">
        <v>39</v>
      </c>
      <c r="D399" s="95" t="s">
        <v>284</v>
      </c>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c r="AG399" s="273">
        <v>0</v>
      </c>
      <c r="AH399" s="274"/>
      <c r="AI399" s="274"/>
      <c r="AJ399" s="274"/>
      <c r="AK399" s="274"/>
      <c r="AL399" s="275"/>
      <c r="AO399" s="159"/>
      <c r="AP399" s="157">
        <f t="shared" si="74"/>
        <v>0</v>
      </c>
      <c r="AQ399" s="156"/>
      <c r="AR399" s="160"/>
      <c r="AS399" s="160"/>
      <c r="AT399" s="8"/>
      <c r="AW399" s="8"/>
      <c r="AY399" s="1"/>
    </row>
    <row r="400" spans="1:51" s="109" customFormat="1" ht="11.25" x14ac:dyDescent="0.2">
      <c r="A400" s="284"/>
      <c r="B400" s="403"/>
      <c r="C400" s="37">
        <v>40</v>
      </c>
      <c r="D400" s="95" t="s">
        <v>285</v>
      </c>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c r="AG400" s="273">
        <v>0</v>
      </c>
      <c r="AH400" s="274"/>
      <c r="AI400" s="274"/>
      <c r="AJ400" s="274"/>
      <c r="AK400" s="274"/>
      <c r="AL400" s="275"/>
      <c r="AO400" s="159"/>
      <c r="AP400" s="157">
        <f t="shared" si="74"/>
        <v>0</v>
      </c>
      <c r="AQ400" s="156"/>
      <c r="AR400" s="160"/>
      <c r="AS400" s="160"/>
      <c r="AT400" s="8"/>
      <c r="AW400" s="8"/>
    </row>
    <row r="401" spans="1:54" s="109" customFormat="1" ht="11.25" x14ac:dyDescent="0.2">
      <c r="A401" s="284"/>
      <c r="B401" s="404"/>
      <c r="C401" s="37">
        <v>41</v>
      </c>
      <c r="D401" s="95" t="s">
        <v>286</v>
      </c>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c r="AG401" s="273">
        <v>0</v>
      </c>
      <c r="AH401" s="274"/>
      <c r="AI401" s="274"/>
      <c r="AJ401" s="274"/>
      <c r="AK401" s="274"/>
      <c r="AL401" s="275"/>
      <c r="AO401" s="159"/>
      <c r="AP401" s="157">
        <f t="shared" ref="AP401" si="75">IF(AG401=0,0,1)</f>
        <v>0</v>
      </c>
      <c r="AQ401" s="156"/>
      <c r="AR401" s="160"/>
      <c r="AS401" s="160"/>
      <c r="AU401" s="53" t="s">
        <v>365</v>
      </c>
      <c r="BA401" s="52" t="s">
        <v>511</v>
      </c>
      <c r="BB401" s="52">
        <f>$AQ$23</f>
        <v>0</v>
      </c>
    </row>
    <row r="402" spans="1:54" ht="12.75" x14ac:dyDescent="0.2">
      <c r="B402" s="258" t="str">
        <f>IF(BB402=1,"Error. If this is a semi-annual report, this section should be blank.",IF(NOT(AND(A41="Looking good! Proceed to Part 1.",A121="",A153="Looking good! Proceed to Part 2.",A201="Looking good! Proceed to Part 3.",A240="",A270="Looking good! Proceed to Part 4.",A305="Looking good! Proceed to Part 5: TBRA Outcomes.",B355="Looking good! Proceed to Part 5: STRMU Outcomes.")),"",IF(BB401=1,"",IF(AX357=1,"You've entered outcome data, but your coversheet indicates that you did not undertake this activity. Please resolve this discrepancy.",IF(SUM(AW357:AW401)&gt;0,"Error. You've indicated this is not applicable, but you've entered outcome data. Please resolve this discrepancy.",IF(SUM(AT357:AT401)&gt;0,CONCATENATE("Error. Number of households cannot exceed ",AN357,"."),IF(AND(AM357=1,AN357&lt;&gt;AQ357),CONCATENATE("Enter the number of households by income level. Total must equal ",AN357,". You've entered ",AQ357,"."),IF(AND(AM357=1,MIN(AO361:AO364)=0),"Select whether each longevity is applicable.",IF(AND(AM357=1,SUM(AS361:AS364)&gt;0),"Enter the number of households by longevity.",IF(AND(AM357=1,SUM(AY362:AY364)&gt;0),CONCATENATE("Error. If ",AG361," out of ",AN357," households received STRMU for the first time this year, then the number of households for each other longevity category cannot exceed ",AN361,"."),IF(BB361=1,CONCATENATE("Error. The total number of households for all longevity categories cannot be less than ",AN357,". You've entered ",AQ361,"."),IF(AND(AM357=1,MIN(AO366:AO378)=0),"Select whether each source of income is applicable.",IF(SUM(AZ366:AZ377)&gt;0,CONCATENATE("Error. If ",AG378," out of ",AN357," households had no income, then the number of households for each other income category cannot exceed ",AN366,"."),IF(AU378=1,"If no households accessed and/or maintained any sources of income, please select ""yes"".",IF(AV378=1,CONCATENATE("If no households accessed and/or maintained any sources of income, then the total number of households that had no income should equal ",AN357,"."),IF(AND(AM357=1,SUM(AS366:AS378)&gt;0),"Enter the number of households that accessed and/or maintained these sources of income.",IF(AND(AN357&lt;&gt;AN366,BA366&gt;0),CONCATENATE("Error. If ",AG378," out of ",AN357," households had no income, then the total number of households for all other income categories cannot be less than ",AN366," at minimum."),IF(AND(AN357=AN366,BA366&gt;0),CONCATENATE("Error. The total number of households for these income categories cannot be less than ",AN366," at minimum."),IF(AND(AM357=1,MIN(AO380:AO385)=0),"Select whether each source of medical insurance and/or assistance is applicable.",IF(AND(AM357=1,SUM(AS380:AS385)&gt;0),"Enter the number of households that accessed and/or maintained these sources of medical insurance and/or assistance.",IF(AND(AM357=1,AN357&lt;&gt;AQ387),CONCATENATE("Enter the number of households by household status. Total must equal ",AN357,". You've entered ",AQ387,"."),"Looking good! Proceed to Part 5: FBHA Outcomes.")))))))))))))))))))))</f>
        <v/>
      </c>
      <c r="C402" s="258"/>
      <c r="D402" s="258"/>
      <c r="E402" s="258"/>
      <c r="F402" s="258"/>
      <c r="G402" s="258"/>
      <c r="H402" s="258"/>
      <c r="I402" s="258"/>
      <c r="J402" s="258"/>
      <c r="K402" s="258"/>
      <c r="L402" s="258"/>
      <c r="M402" s="258"/>
      <c r="N402" s="258"/>
      <c r="O402" s="258"/>
      <c r="P402" s="258"/>
      <c r="Q402" s="258"/>
      <c r="R402" s="258"/>
      <c r="S402" s="258"/>
      <c r="T402" s="258"/>
      <c r="U402" s="258"/>
      <c r="V402" s="258"/>
      <c r="W402" s="258"/>
      <c r="X402" s="258"/>
      <c r="Y402" s="258"/>
      <c r="Z402" s="258"/>
      <c r="AA402" s="258"/>
      <c r="AB402" s="258"/>
      <c r="AC402" s="258"/>
      <c r="AD402" s="258"/>
      <c r="AE402" s="258"/>
      <c r="AF402" s="258"/>
      <c r="AG402" s="258"/>
      <c r="AH402" s="258"/>
      <c r="AI402" s="258"/>
      <c r="AJ402" s="258"/>
      <c r="AK402" s="258"/>
      <c r="AL402" s="258"/>
      <c r="AU402" s="212">
        <f>IF(BB401=1,1,IF(AM357=0,1,IF(AND(AM357=1,B402="Looking good! Proceed to Part 5: FBHA Outcomes.",SUM(AO357:AP401)&gt;0,SUM(AR357:AS401)=0,SUM(AT357:BA385)=0,BB361=0),1,0)))</f>
        <v>1</v>
      </c>
      <c r="BA402" s="1" t="s">
        <v>513</v>
      </c>
      <c r="BB402" s="163">
        <f>IF(AND($AV$23=1,(SUM(AO357:AP401))&gt;0),1,0)</f>
        <v>0</v>
      </c>
    </row>
    <row r="403" spans="1:54" s="109" customFormat="1" ht="11.25" customHeight="1" x14ac:dyDescent="0.2">
      <c r="A403" s="284" t="s">
        <v>409</v>
      </c>
      <c r="B403" s="310" t="str">
        <f>IF(AA164&gt;0,CONCATENATE("FBHA Household Output: ",AA164),"FBHA Household Output: 0")</f>
        <v>FBHA Household Output: 0</v>
      </c>
      <c r="C403" s="101" t="s">
        <v>229</v>
      </c>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c r="AI403" s="128"/>
      <c r="AJ403" s="128"/>
      <c r="AK403" s="128"/>
      <c r="AL403" s="129"/>
      <c r="AM403" s="4" t="s">
        <v>375</v>
      </c>
      <c r="AN403" s="8" t="s">
        <v>401</v>
      </c>
      <c r="AP403" s="109" t="s">
        <v>366</v>
      </c>
      <c r="AQ403" s="109" t="s">
        <v>93</v>
      </c>
      <c r="AS403" s="8" t="s">
        <v>363</v>
      </c>
      <c r="AT403" s="109" t="s">
        <v>405</v>
      </c>
      <c r="AU403" s="109" t="s">
        <v>407</v>
      </c>
      <c r="AV403" s="109" t="s">
        <v>408</v>
      </c>
      <c r="AW403" s="109" t="s">
        <v>410</v>
      </c>
      <c r="AX403" s="109" t="s">
        <v>411</v>
      </c>
      <c r="AZ403" s="109" t="s">
        <v>415</v>
      </c>
      <c r="BA403" s="109" t="s">
        <v>416</v>
      </c>
    </row>
    <row r="404" spans="1:54" s="109" customFormat="1" ht="11.25" x14ac:dyDescent="0.2">
      <c r="A404" s="284"/>
      <c r="B404" s="311"/>
      <c r="C404" s="37">
        <v>1</v>
      </c>
      <c r="D404" s="95" t="s">
        <v>230</v>
      </c>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c r="AG404" s="273">
        <v>0</v>
      </c>
      <c r="AH404" s="274"/>
      <c r="AI404" s="274"/>
      <c r="AJ404" s="274"/>
      <c r="AK404" s="274"/>
      <c r="AL404" s="275"/>
      <c r="AM404" s="143">
        <f>AQ28</f>
        <v>0</v>
      </c>
      <c r="AN404" s="8">
        <f>IF(AM404=1,AA164,0)</f>
        <v>0</v>
      </c>
      <c r="AO404" s="159"/>
      <c r="AP404" s="157">
        <f>IF(AG404=0,0,1)</f>
        <v>0</v>
      </c>
      <c r="AQ404" s="155">
        <f>SUM(AG404:AL406)</f>
        <v>0</v>
      </c>
      <c r="AR404" s="160"/>
      <c r="AS404" s="160"/>
      <c r="AT404" s="8"/>
      <c r="AW404" s="8"/>
      <c r="AX404" s="8">
        <f>IF(AND(AM404=0,SUM(AO404:AP448)&gt;0),1,0)</f>
        <v>0</v>
      </c>
    </row>
    <row r="405" spans="1:54" s="109" customFormat="1" ht="11.25" x14ac:dyDescent="0.2">
      <c r="A405" s="284"/>
      <c r="B405" s="311"/>
      <c r="C405" s="37">
        <v>2</v>
      </c>
      <c r="D405" s="95" t="s">
        <v>231</v>
      </c>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c r="AG405" s="273">
        <v>0</v>
      </c>
      <c r="AH405" s="274"/>
      <c r="AI405" s="274"/>
      <c r="AJ405" s="274"/>
      <c r="AK405" s="274"/>
      <c r="AL405" s="275"/>
      <c r="AO405" s="159"/>
      <c r="AP405" s="157">
        <f>IF(AG405=0,0,1)</f>
        <v>0</v>
      </c>
      <c r="AQ405" s="156"/>
      <c r="AR405" s="160"/>
      <c r="AS405" s="160"/>
      <c r="AT405" s="8"/>
      <c r="AW405" s="8"/>
    </row>
    <row r="406" spans="1:54" s="109" customFormat="1" ht="11.25" x14ac:dyDescent="0.2">
      <c r="A406" s="284"/>
      <c r="B406" s="311"/>
      <c r="C406" s="37">
        <v>3</v>
      </c>
      <c r="D406" s="95" t="s">
        <v>232</v>
      </c>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c r="AG406" s="273">
        <v>0</v>
      </c>
      <c r="AH406" s="274"/>
      <c r="AI406" s="274"/>
      <c r="AJ406" s="274"/>
      <c r="AK406" s="274"/>
      <c r="AL406" s="275"/>
      <c r="AO406" s="159"/>
      <c r="AP406" s="157">
        <f>IF(AG406=0,0,1)</f>
        <v>0</v>
      </c>
      <c r="AQ406" s="156"/>
      <c r="AR406" s="160"/>
      <c r="AS406" s="160"/>
      <c r="AT406" s="8"/>
      <c r="AW406" s="8"/>
    </row>
    <row r="407" spans="1:54" s="109" customFormat="1" ht="11.25" x14ac:dyDescent="0.2">
      <c r="A407" s="284"/>
      <c r="B407" s="311"/>
      <c r="C407" s="101" t="s">
        <v>228</v>
      </c>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31"/>
      <c r="Z407" s="131"/>
      <c r="AA407" s="131"/>
      <c r="AB407" s="131"/>
      <c r="AC407" s="131"/>
      <c r="AD407" s="131"/>
      <c r="AE407" s="131"/>
      <c r="AF407" s="131"/>
      <c r="AG407" s="128"/>
      <c r="AH407" s="128"/>
      <c r="AI407" s="128"/>
      <c r="AJ407" s="128"/>
      <c r="AK407" s="128"/>
      <c r="AL407" s="129"/>
      <c r="AO407" s="159"/>
      <c r="AP407" s="157"/>
      <c r="AQ407" s="156"/>
      <c r="AR407" s="160"/>
      <c r="AS407" s="160"/>
      <c r="AT407" s="8"/>
      <c r="AW407" s="8"/>
    </row>
    <row r="408" spans="1:54" s="109" customFormat="1" ht="11.25" x14ac:dyDescent="0.2">
      <c r="A408" s="284"/>
      <c r="B408" s="311"/>
      <c r="C408" s="37">
        <v>4</v>
      </c>
      <c r="D408" s="95" t="s">
        <v>254</v>
      </c>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c r="AG408" s="273">
        <v>0</v>
      </c>
      <c r="AH408" s="274"/>
      <c r="AI408" s="274"/>
      <c r="AJ408" s="274"/>
      <c r="AK408" s="274"/>
      <c r="AL408" s="275"/>
      <c r="AO408" s="159"/>
      <c r="AP408" s="157">
        <f>IF(AG408=0,0,1)</f>
        <v>0</v>
      </c>
      <c r="AQ408" s="155">
        <f>SUM(AG408:AL412)</f>
        <v>0</v>
      </c>
      <c r="AR408" s="160"/>
      <c r="AS408" s="160"/>
      <c r="AT408" s="8"/>
      <c r="AW408" s="8"/>
    </row>
    <row r="409" spans="1:54" s="109" customFormat="1" ht="11.25" x14ac:dyDescent="0.2">
      <c r="A409" s="284"/>
      <c r="B409" s="311"/>
      <c r="C409" s="37">
        <v>5</v>
      </c>
      <c r="D409" s="95" t="s">
        <v>255</v>
      </c>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c r="AG409" s="273">
        <v>0</v>
      </c>
      <c r="AH409" s="274"/>
      <c r="AI409" s="274"/>
      <c r="AJ409" s="274"/>
      <c r="AK409" s="274"/>
      <c r="AL409" s="275"/>
      <c r="AO409" s="159"/>
      <c r="AP409" s="157">
        <f>IF(AG409=0,0,1)</f>
        <v>0</v>
      </c>
      <c r="AQ409" s="156"/>
      <c r="AR409" s="160"/>
      <c r="AS409" s="160"/>
      <c r="AT409" s="8"/>
      <c r="AW409" s="8"/>
    </row>
    <row r="410" spans="1:54" s="109" customFormat="1" ht="11.25" x14ac:dyDescent="0.2">
      <c r="A410" s="284"/>
      <c r="B410" s="311"/>
      <c r="C410" s="37">
        <v>6</v>
      </c>
      <c r="D410" s="95" t="s">
        <v>256</v>
      </c>
      <c r="E410" s="95"/>
      <c r="F410" s="95"/>
      <c r="G410" s="95"/>
      <c r="H410" s="95"/>
      <c r="I410" s="95"/>
      <c r="J410" s="95"/>
      <c r="K410" s="95"/>
      <c r="L410" s="95"/>
      <c r="M410" s="95"/>
      <c r="N410" s="95"/>
      <c r="O410" s="95"/>
      <c r="P410" s="95"/>
      <c r="Q410" s="95"/>
      <c r="R410" s="95"/>
      <c r="S410" s="95"/>
      <c r="T410" s="95"/>
      <c r="U410" s="95"/>
      <c r="V410" s="95"/>
      <c r="W410" s="95"/>
      <c r="X410" s="95"/>
      <c r="Y410" s="95"/>
      <c r="Z410" s="95"/>
      <c r="AA410" s="95"/>
      <c r="AB410" s="95"/>
      <c r="AC410" s="95"/>
      <c r="AD410" s="95"/>
      <c r="AE410" s="95"/>
      <c r="AF410" s="95"/>
      <c r="AG410" s="273">
        <v>0</v>
      </c>
      <c r="AH410" s="274"/>
      <c r="AI410" s="274"/>
      <c r="AJ410" s="274"/>
      <c r="AK410" s="274"/>
      <c r="AL410" s="275"/>
      <c r="AO410" s="159"/>
      <c r="AP410" s="157">
        <f>IF(AG410=0,0,1)</f>
        <v>0</v>
      </c>
      <c r="AQ410" s="156"/>
      <c r="AR410" s="160"/>
      <c r="AS410" s="160"/>
      <c r="AT410" s="8"/>
      <c r="AW410" s="8"/>
    </row>
    <row r="411" spans="1:54" s="109" customFormat="1" ht="11.25" x14ac:dyDescent="0.2">
      <c r="A411" s="284"/>
      <c r="B411" s="311"/>
      <c r="C411" s="37">
        <v>7</v>
      </c>
      <c r="D411" s="95" t="s">
        <v>257</v>
      </c>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c r="AG411" s="273">
        <v>0</v>
      </c>
      <c r="AH411" s="274"/>
      <c r="AI411" s="274"/>
      <c r="AJ411" s="274"/>
      <c r="AK411" s="274"/>
      <c r="AL411" s="275"/>
      <c r="AN411" s="8" t="s">
        <v>421</v>
      </c>
      <c r="AO411" s="159"/>
      <c r="AP411" s="157">
        <f>IF(AG411=0,0,1)</f>
        <v>0</v>
      </c>
      <c r="AQ411" s="156"/>
      <c r="AR411" s="160"/>
      <c r="AS411" s="160"/>
      <c r="AT411" s="8"/>
      <c r="AW411" s="8"/>
    </row>
    <row r="412" spans="1:54" s="109" customFormat="1" ht="11.25" x14ac:dyDescent="0.2">
      <c r="A412" s="284"/>
      <c r="B412" s="311"/>
      <c r="C412" s="37">
        <v>8</v>
      </c>
      <c r="D412" s="95" t="s">
        <v>258</v>
      </c>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c r="AG412" s="273">
        <v>0</v>
      </c>
      <c r="AH412" s="274"/>
      <c r="AI412" s="274"/>
      <c r="AJ412" s="274"/>
      <c r="AK412" s="274"/>
      <c r="AL412" s="275"/>
      <c r="AN412" s="8">
        <f>AG426</f>
        <v>0</v>
      </c>
      <c r="AO412" s="159"/>
      <c r="AP412" s="157">
        <f>IF(AG412=0,0,1)</f>
        <v>0</v>
      </c>
      <c r="AQ412" s="156"/>
      <c r="AR412" s="160"/>
      <c r="AS412" s="160"/>
      <c r="AT412" s="8"/>
      <c r="AW412" s="8"/>
    </row>
    <row r="413" spans="1:54" s="109" customFormat="1" ht="11.25" x14ac:dyDescent="0.2">
      <c r="A413" s="284"/>
      <c r="B413" s="311"/>
      <c r="C413" s="101" t="s">
        <v>90</v>
      </c>
      <c r="D413" s="128"/>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270" t="s">
        <v>375</v>
      </c>
      <c r="AE413" s="271"/>
      <c r="AF413" s="272"/>
      <c r="AG413" s="128"/>
      <c r="AH413" s="128"/>
      <c r="AI413" s="128"/>
      <c r="AJ413" s="128"/>
      <c r="AK413" s="128"/>
      <c r="AL413" s="129"/>
      <c r="AN413" s="8" t="s">
        <v>414</v>
      </c>
      <c r="AO413" s="159"/>
      <c r="AP413" s="157"/>
      <c r="AQ413" s="156"/>
      <c r="AR413" s="160"/>
      <c r="AS413" s="160"/>
      <c r="AT413" s="8"/>
      <c r="AW413" s="8"/>
      <c r="BB413" s="109" t="s">
        <v>375</v>
      </c>
    </row>
    <row r="414" spans="1:54" s="109" customFormat="1" ht="11.25" x14ac:dyDescent="0.2">
      <c r="A414" s="284"/>
      <c r="B414" s="311"/>
      <c r="C414" s="37">
        <v>9</v>
      </c>
      <c r="D414" s="95" t="s">
        <v>238</v>
      </c>
      <c r="E414" s="95"/>
      <c r="F414" s="95"/>
      <c r="G414" s="95"/>
      <c r="H414" s="95"/>
      <c r="I414" s="95"/>
      <c r="J414" s="95"/>
      <c r="K414" s="95"/>
      <c r="L414" s="95"/>
      <c r="M414" s="95"/>
      <c r="N414" s="95"/>
      <c r="O414" s="95"/>
      <c r="P414" s="95"/>
      <c r="Q414" s="95"/>
      <c r="R414" s="95"/>
      <c r="S414" s="95"/>
      <c r="T414" s="95"/>
      <c r="U414" s="95"/>
      <c r="V414" s="95"/>
      <c r="W414" s="95"/>
      <c r="X414" s="95"/>
      <c r="Y414" s="95"/>
      <c r="Z414" s="95"/>
      <c r="AA414" s="95"/>
      <c r="AB414" s="95"/>
      <c r="AC414" s="95"/>
      <c r="AD414" s="267"/>
      <c r="AE414" s="268"/>
      <c r="AF414" s="269"/>
      <c r="AG414" s="273">
        <v>0</v>
      </c>
      <c r="AH414" s="274"/>
      <c r="AI414" s="274"/>
      <c r="AJ414" s="274"/>
      <c r="AK414" s="274"/>
      <c r="AL414" s="275"/>
      <c r="AN414" s="8">
        <f>AN404-AG426</f>
        <v>0</v>
      </c>
      <c r="AO414" s="157">
        <f t="shared" ref="AO414:AO426" si="76">IF(AD414=0,0,1)</f>
        <v>0</v>
      </c>
      <c r="AP414" s="157">
        <f t="shared" ref="AP414:AP426" si="77">IF(AG414=0,0,1)</f>
        <v>0</v>
      </c>
      <c r="AQ414" s="156"/>
      <c r="AR414" s="160">
        <f>IF(AND(SUM(AO414:AP414)&gt;0,AO414=0),1,0)</f>
        <v>0</v>
      </c>
      <c r="AS414" s="160">
        <f t="shared" ref="AS414:AS426" si="78">IF(AND(SUM(AO414:AP414)&gt;0,AP414=0,AD414="Yes"),1,0)</f>
        <v>0</v>
      </c>
      <c r="AT414" s="8">
        <f>IF(AG414&gt;$AN$404,1,0)</f>
        <v>0</v>
      </c>
      <c r="AW414" s="8">
        <f t="shared" ref="AW414:AW423" si="79">IF(AND(AD414="No",AP414&gt;0),1,0)</f>
        <v>0</v>
      </c>
      <c r="AZ414" s="8">
        <f>IF(AG414&gt;$AN$414,1,0)</f>
        <v>0</v>
      </c>
      <c r="BA414" s="8">
        <f>IF(SUM(AG414:AL425)&lt;AN414,1,0)</f>
        <v>0</v>
      </c>
      <c r="BB414" s="8">
        <f t="shared" ref="BB414:BB426" si="80">IF(AD414="Yes",1,0)</f>
        <v>0</v>
      </c>
    </row>
    <row r="415" spans="1:54" s="109" customFormat="1" ht="11.25" x14ac:dyDescent="0.2">
      <c r="A415" s="284"/>
      <c r="B415" s="311"/>
      <c r="C415" s="37">
        <v>10</v>
      </c>
      <c r="D415" s="95" t="s">
        <v>239</v>
      </c>
      <c r="E415" s="95"/>
      <c r="F415" s="95"/>
      <c r="G415" s="95"/>
      <c r="H415" s="95"/>
      <c r="I415" s="95"/>
      <c r="J415" s="95"/>
      <c r="K415" s="95"/>
      <c r="L415" s="95"/>
      <c r="M415" s="95"/>
      <c r="N415" s="95"/>
      <c r="O415" s="95"/>
      <c r="P415" s="95"/>
      <c r="Q415" s="95"/>
      <c r="R415" s="95"/>
      <c r="S415" s="95"/>
      <c r="T415" s="95"/>
      <c r="U415" s="95"/>
      <c r="V415" s="95"/>
      <c r="W415" s="95"/>
      <c r="X415" s="95"/>
      <c r="Y415" s="95"/>
      <c r="Z415" s="95"/>
      <c r="AA415" s="95"/>
      <c r="AB415" s="95"/>
      <c r="AC415" s="95"/>
      <c r="AD415" s="267"/>
      <c r="AE415" s="268"/>
      <c r="AF415" s="269"/>
      <c r="AG415" s="273">
        <v>0</v>
      </c>
      <c r="AH415" s="274"/>
      <c r="AI415" s="274"/>
      <c r="AJ415" s="274"/>
      <c r="AK415" s="274"/>
      <c r="AL415" s="275"/>
      <c r="AO415" s="157">
        <f t="shared" si="76"/>
        <v>0</v>
      </c>
      <c r="AP415" s="157">
        <f t="shared" si="77"/>
        <v>0</v>
      </c>
      <c r="AQ415" s="156"/>
      <c r="AR415" s="160">
        <f t="shared" ref="AR415:AR426" si="81">IF(AND(SUM(AO415:AP415)&gt;0,AO415=0),1,0)</f>
        <v>0</v>
      </c>
      <c r="AS415" s="160">
        <f t="shared" si="78"/>
        <v>0</v>
      </c>
      <c r="AT415" s="8">
        <f t="shared" ref="AT415:AT433" si="82">IF(AG415&gt;$AN$404,1,0)</f>
        <v>0</v>
      </c>
      <c r="AW415" s="8">
        <f t="shared" si="79"/>
        <v>0</v>
      </c>
      <c r="AZ415" s="8">
        <f t="shared" ref="AZ415:AZ425" si="83">IF(AG415&gt;$AN$414,1,0)</f>
        <v>0</v>
      </c>
      <c r="BB415" s="8">
        <f t="shared" si="80"/>
        <v>0</v>
      </c>
    </row>
    <row r="416" spans="1:54" s="109" customFormat="1" ht="11.25" x14ac:dyDescent="0.2">
      <c r="A416" s="284"/>
      <c r="B416" s="311"/>
      <c r="C416" s="37">
        <v>11</v>
      </c>
      <c r="D416" s="95" t="s">
        <v>240</v>
      </c>
      <c r="E416" s="95"/>
      <c r="F416" s="95"/>
      <c r="G416" s="95"/>
      <c r="H416" s="95"/>
      <c r="I416" s="95"/>
      <c r="J416" s="95"/>
      <c r="K416" s="95"/>
      <c r="L416" s="95"/>
      <c r="M416" s="95"/>
      <c r="N416" s="95"/>
      <c r="O416" s="95"/>
      <c r="P416" s="95"/>
      <c r="Q416" s="95"/>
      <c r="R416" s="95"/>
      <c r="S416" s="95"/>
      <c r="T416" s="95"/>
      <c r="U416" s="95"/>
      <c r="V416" s="95"/>
      <c r="W416" s="95"/>
      <c r="X416" s="95"/>
      <c r="Y416" s="95"/>
      <c r="Z416" s="95"/>
      <c r="AA416" s="95"/>
      <c r="AB416" s="95"/>
      <c r="AC416" s="95"/>
      <c r="AD416" s="267"/>
      <c r="AE416" s="268"/>
      <c r="AF416" s="269"/>
      <c r="AG416" s="273">
        <v>0</v>
      </c>
      <c r="AH416" s="274"/>
      <c r="AI416" s="274"/>
      <c r="AJ416" s="274"/>
      <c r="AK416" s="274"/>
      <c r="AL416" s="275"/>
      <c r="AO416" s="157">
        <f t="shared" si="76"/>
        <v>0</v>
      </c>
      <c r="AP416" s="157">
        <f t="shared" si="77"/>
        <v>0</v>
      </c>
      <c r="AQ416" s="156"/>
      <c r="AR416" s="160">
        <f t="shared" si="81"/>
        <v>0</v>
      </c>
      <c r="AS416" s="160">
        <f t="shared" si="78"/>
        <v>0</v>
      </c>
      <c r="AT416" s="8">
        <f t="shared" si="82"/>
        <v>0</v>
      </c>
      <c r="AW416" s="8">
        <f t="shared" si="79"/>
        <v>0</v>
      </c>
      <c r="AZ416" s="8">
        <f t="shared" si="83"/>
        <v>0</v>
      </c>
      <c r="BB416" s="8">
        <f t="shared" si="80"/>
        <v>0</v>
      </c>
    </row>
    <row r="417" spans="1:54" s="109" customFormat="1" ht="11.25" x14ac:dyDescent="0.2">
      <c r="A417" s="284"/>
      <c r="B417" s="311"/>
      <c r="C417" s="37">
        <v>12</v>
      </c>
      <c r="D417" s="95" t="s">
        <v>241</v>
      </c>
      <c r="E417" s="95"/>
      <c r="F417" s="95"/>
      <c r="G417" s="95"/>
      <c r="H417" s="95"/>
      <c r="I417" s="95"/>
      <c r="J417" s="95"/>
      <c r="K417" s="95"/>
      <c r="L417" s="95"/>
      <c r="M417" s="95"/>
      <c r="N417" s="95"/>
      <c r="O417" s="95"/>
      <c r="P417" s="95"/>
      <c r="Q417" s="95"/>
      <c r="R417" s="95"/>
      <c r="S417" s="95"/>
      <c r="T417" s="95"/>
      <c r="U417" s="95"/>
      <c r="V417" s="95"/>
      <c r="W417" s="95"/>
      <c r="X417" s="95"/>
      <c r="Y417" s="95"/>
      <c r="Z417" s="95"/>
      <c r="AA417" s="95"/>
      <c r="AB417" s="95"/>
      <c r="AC417" s="95"/>
      <c r="AD417" s="267"/>
      <c r="AE417" s="268"/>
      <c r="AF417" s="269"/>
      <c r="AG417" s="273">
        <v>0</v>
      </c>
      <c r="AH417" s="274"/>
      <c r="AI417" s="274"/>
      <c r="AJ417" s="274"/>
      <c r="AK417" s="274"/>
      <c r="AL417" s="275"/>
      <c r="AO417" s="157">
        <f t="shared" si="76"/>
        <v>0</v>
      </c>
      <c r="AP417" s="157">
        <f t="shared" si="77"/>
        <v>0</v>
      </c>
      <c r="AQ417" s="156"/>
      <c r="AR417" s="160">
        <f t="shared" si="81"/>
        <v>0</v>
      </c>
      <c r="AS417" s="160">
        <f t="shared" si="78"/>
        <v>0</v>
      </c>
      <c r="AT417" s="8">
        <f t="shared" si="82"/>
        <v>0</v>
      </c>
      <c r="AW417" s="8">
        <f t="shared" si="79"/>
        <v>0</v>
      </c>
      <c r="AZ417" s="8">
        <f t="shared" si="83"/>
        <v>0</v>
      </c>
      <c r="BB417" s="8">
        <f t="shared" si="80"/>
        <v>0</v>
      </c>
    </row>
    <row r="418" spans="1:54" s="109" customFormat="1" ht="11.25" x14ac:dyDescent="0.2">
      <c r="A418" s="284"/>
      <c r="B418" s="311"/>
      <c r="C418" s="37">
        <v>13</v>
      </c>
      <c r="D418" s="95" t="s">
        <v>402</v>
      </c>
      <c r="E418" s="95"/>
      <c r="F418" s="95"/>
      <c r="G418" s="95"/>
      <c r="H418" s="95"/>
      <c r="I418" s="95"/>
      <c r="J418" s="95"/>
      <c r="K418" s="95"/>
      <c r="L418" s="95"/>
      <c r="M418" s="95"/>
      <c r="N418" s="95"/>
      <c r="O418" s="95"/>
      <c r="P418" s="95"/>
      <c r="Q418" s="95"/>
      <c r="R418" s="95"/>
      <c r="S418" s="95"/>
      <c r="T418" s="95"/>
      <c r="U418" s="95"/>
      <c r="V418" s="95"/>
      <c r="W418" s="95"/>
      <c r="X418" s="95"/>
      <c r="Y418" s="95"/>
      <c r="Z418" s="95"/>
      <c r="AA418" s="95"/>
      <c r="AB418" s="95"/>
      <c r="AC418" s="95"/>
      <c r="AD418" s="267"/>
      <c r="AE418" s="268"/>
      <c r="AF418" s="269"/>
      <c r="AG418" s="273">
        <v>0</v>
      </c>
      <c r="AH418" s="274"/>
      <c r="AI418" s="274"/>
      <c r="AJ418" s="274"/>
      <c r="AK418" s="274"/>
      <c r="AL418" s="275"/>
      <c r="AO418" s="157">
        <f t="shared" si="76"/>
        <v>0</v>
      </c>
      <c r="AP418" s="157">
        <f t="shared" si="77"/>
        <v>0</v>
      </c>
      <c r="AQ418" s="156"/>
      <c r="AR418" s="160">
        <f t="shared" si="81"/>
        <v>0</v>
      </c>
      <c r="AS418" s="160">
        <f t="shared" si="78"/>
        <v>0</v>
      </c>
      <c r="AT418" s="8">
        <f t="shared" si="82"/>
        <v>0</v>
      </c>
      <c r="AW418" s="8">
        <f t="shared" si="79"/>
        <v>0</v>
      </c>
      <c r="AZ418" s="8">
        <f t="shared" si="83"/>
        <v>0</v>
      </c>
      <c r="BB418" s="8">
        <f t="shared" si="80"/>
        <v>0</v>
      </c>
    </row>
    <row r="419" spans="1:54" s="109" customFormat="1" ht="11.25" x14ac:dyDescent="0.2">
      <c r="A419" s="284"/>
      <c r="B419" s="311"/>
      <c r="C419" s="37">
        <v>14</v>
      </c>
      <c r="D419" s="95" t="s">
        <v>403</v>
      </c>
      <c r="E419" s="95"/>
      <c r="F419" s="95"/>
      <c r="G419" s="95"/>
      <c r="H419" s="95"/>
      <c r="I419" s="95"/>
      <c r="J419" s="95"/>
      <c r="K419" s="95"/>
      <c r="L419" s="95"/>
      <c r="M419" s="95"/>
      <c r="N419" s="95"/>
      <c r="O419" s="95"/>
      <c r="P419" s="95"/>
      <c r="Q419" s="95"/>
      <c r="R419" s="95"/>
      <c r="S419" s="95"/>
      <c r="T419" s="95"/>
      <c r="U419" s="95"/>
      <c r="V419" s="95"/>
      <c r="W419" s="95"/>
      <c r="X419" s="95"/>
      <c r="Y419" s="95"/>
      <c r="Z419" s="95"/>
      <c r="AA419" s="95"/>
      <c r="AB419" s="95"/>
      <c r="AC419" s="95"/>
      <c r="AD419" s="267"/>
      <c r="AE419" s="268"/>
      <c r="AF419" s="269"/>
      <c r="AG419" s="273">
        <v>0</v>
      </c>
      <c r="AH419" s="274"/>
      <c r="AI419" s="274"/>
      <c r="AJ419" s="274"/>
      <c r="AK419" s="274"/>
      <c r="AL419" s="275"/>
      <c r="AO419" s="157">
        <f t="shared" si="76"/>
        <v>0</v>
      </c>
      <c r="AP419" s="157">
        <f t="shared" si="77"/>
        <v>0</v>
      </c>
      <c r="AQ419" s="156"/>
      <c r="AR419" s="160">
        <f t="shared" si="81"/>
        <v>0</v>
      </c>
      <c r="AS419" s="160">
        <f t="shared" si="78"/>
        <v>0</v>
      </c>
      <c r="AT419" s="8">
        <f t="shared" si="82"/>
        <v>0</v>
      </c>
      <c r="AW419" s="8">
        <f t="shared" si="79"/>
        <v>0</v>
      </c>
      <c r="AZ419" s="8">
        <f t="shared" si="83"/>
        <v>0</v>
      </c>
      <c r="BB419" s="8">
        <f t="shared" si="80"/>
        <v>0</v>
      </c>
    </row>
    <row r="420" spans="1:54" s="109" customFormat="1" ht="11.25" x14ac:dyDescent="0.2">
      <c r="A420" s="284"/>
      <c r="B420" s="311"/>
      <c r="C420" s="37">
        <v>15</v>
      </c>
      <c r="D420" s="95" t="s">
        <v>404</v>
      </c>
      <c r="E420" s="95"/>
      <c r="F420" s="95"/>
      <c r="G420" s="95"/>
      <c r="H420" s="95"/>
      <c r="I420" s="95"/>
      <c r="J420" s="95"/>
      <c r="K420" s="95"/>
      <c r="L420" s="95"/>
      <c r="M420" s="95"/>
      <c r="N420" s="95"/>
      <c r="O420" s="95"/>
      <c r="P420" s="95"/>
      <c r="Q420" s="95"/>
      <c r="R420" s="95"/>
      <c r="S420" s="95"/>
      <c r="T420" s="95"/>
      <c r="U420" s="95"/>
      <c r="V420" s="95"/>
      <c r="W420" s="95"/>
      <c r="X420" s="95"/>
      <c r="Y420" s="95"/>
      <c r="Z420" s="95"/>
      <c r="AA420" s="95"/>
      <c r="AB420" s="95"/>
      <c r="AC420" s="95"/>
      <c r="AD420" s="267"/>
      <c r="AE420" s="268"/>
      <c r="AF420" s="269"/>
      <c r="AG420" s="273">
        <v>0</v>
      </c>
      <c r="AH420" s="274"/>
      <c r="AI420" s="274"/>
      <c r="AJ420" s="274"/>
      <c r="AK420" s="274"/>
      <c r="AL420" s="275"/>
      <c r="AO420" s="157">
        <f t="shared" si="76"/>
        <v>0</v>
      </c>
      <c r="AP420" s="157">
        <f t="shared" si="77"/>
        <v>0</v>
      </c>
      <c r="AQ420" s="156"/>
      <c r="AR420" s="160">
        <f t="shared" si="81"/>
        <v>0</v>
      </c>
      <c r="AS420" s="160">
        <f t="shared" si="78"/>
        <v>0</v>
      </c>
      <c r="AT420" s="8">
        <f t="shared" si="82"/>
        <v>0</v>
      </c>
      <c r="AW420" s="8">
        <f t="shared" si="79"/>
        <v>0</v>
      </c>
      <c r="AZ420" s="8">
        <f t="shared" si="83"/>
        <v>0</v>
      </c>
      <c r="BB420" s="8">
        <f t="shared" si="80"/>
        <v>0</v>
      </c>
    </row>
    <row r="421" spans="1:54" s="109" customFormat="1" ht="11.25" x14ac:dyDescent="0.2">
      <c r="A421" s="284"/>
      <c r="B421" s="311"/>
      <c r="C421" s="37">
        <v>16</v>
      </c>
      <c r="D421" s="95" t="s">
        <v>242</v>
      </c>
      <c r="E421" s="95"/>
      <c r="F421" s="95"/>
      <c r="G421" s="95"/>
      <c r="H421" s="95"/>
      <c r="I421" s="95"/>
      <c r="J421" s="95"/>
      <c r="K421" s="95"/>
      <c r="L421" s="95"/>
      <c r="M421" s="95"/>
      <c r="N421" s="95"/>
      <c r="O421" s="95"/>
      <c r="P421" s="95"/>
      <c r="Q421" s="95"/>
      <c r="R421" s="95"/>
      <c r="S421" s="95"/>
      <c r="T421" s="95"/>
      <c r="U421" s="95"/>
      <c r="V421" s="95"/>
      <c r="W421" s="95"/>
      <c r="X421" s="95"/>
      <c r="Y421" s="95"/>
      <c r="Z421" s="95"/>
      <c r="AA421" s="95"/>
      <c r="AB421" s="95"/>
      <c r="AC421" s="95"/>
      <c r="AD421" s="267"/>
      <c r="AE421" s="268"/>
      <c r="AF421" s="269"/>
      <c r="AG421" s="273">
        <v>0</v>
      </c>
      <c r="AH421" s="274"/>
      <c r="AI421" s="274"/>
      <c r="AJ421" s="274"/>
      <c r="AK421" s="274"/>
      <c r="AL421" s="275"/>
      <c r="AO421" s="157">
        <f t="shared" si="76"/>
        <v>0</v>
      </c>
      <c r="AP421" s="157">
        <f t="shared" si="77"/>
        <v>0</v>
      </c>
      <c r="AQ421" s="156"/>
      <c r="AR421" s="160">
        <f t="shared" si="81"/>
        <v>0</v>
      </c>
      <c r="AS421" s="160">
        <f t="shared" si="78"/>
        <v>0</v>
      </c>
      <c r="AT421" s="8">
        <f t="shared" si="82"/>
        <v>0</v>
      </c>
      <c r="AW421" s="8">
        <f t="shared" si="79"/>
        <v>0</v>
      </c>
      <c r="AZ421" s="8">
        <f t="shared" si="83"/>
        <v>0</v>
      </c>
      <c r="BB421" s="8">
        <f t="shared" si="80"/>
        <v>0</v>
      </c>
    </row>
    <row r="422" spans="1:54" s="109" customFormat="1" ht="11.25" x14ac:dyDescent="0.2">
      <c r="A422" s="284"/>
      <c r="B422" s="311"/>
      <c r="C422" s="37">
        <v>17</v>
      </c>
      <c r="D422" s="95" t="s">
        <v>251</v>
      </c>
      <c r="E422" s="95"/>
      <c r="F422" s="95"/>
      <c r="G422" s="95"/>
      <c r="H422" s="95"/>
      <c r="I422" s="95"/>
      <c r="J422" s="95"/>
      <c r="K422" s="95"/>
      <c r="L422" s="95"/>
      <c r="M422" s="95"/>
      <c r="N422" s="95"/>
      <c r="O422" s="95"/>
      <c r="P422" s="95"/>
      <c r="Q422" s="95"/>
      <c r="R422" s="95"/>
      <c r="S422" s="95"/>
      <c r="T422" s="95"/>
      <c r="U422" s="95"/>
      <c r="V422" s="95"/>
      <c r="W422" s="95"/>
      <c r="X422" s="95"/>
      <c r="Y422" s="95"/>
      <c r="Z422" s="95"/>
      <c r="AA422" s="95"/>
      <c r="AB422" s="95"/>
      <c r="AC422" s="95"/>
      <c r="AD422" s="267"/>
      <c r="AE422" s="268"/>
      <c r="AF422" s="269"/>
      <c r="AG422" s="273">
        <v>0</v>
      </c>
      <c r="AH422" s="274"/>
      <c r="AI422" s="274"/>
      <c r="AJ422" s="274"/>
      <c r="AK422" s="274"/>
      <c r="AL422" s="275"/>
      <c r="AO422" s="157">
        <f t="shared" si="76"/>
        <v>0</v>
      </c>
      <c r="AP422" s="157">
        <f t="shared" si="77"/>
        <v>0</v>
      </c>
      <c r="AQ422" s="156"/>
      <c r="AR422" s="160">
        <f t="shared" si="81"/>
        <v>0</v>
      </c>
      <c r="AS422" s="160">
        <f t="shared" si="78"/>
        <v>0</v>
      </c>
      <c r="AT422" s="8">
        <f t="shared" si="82"/>
        <v>0</v>
      </c>
      <c r="AW422" s="8">
        <f t="shared" si="79"/>
        <v>0</v>
      </c>
      <c r="AZ422" s="8">
        <f t="shared" si="83"/>
        <v>0</v>
      </c>
      <c r="BB422" s="8">
        <f t="shared" si="80"/>
        <v>0</v>
      </c>
    </row>
    <row r="423" spans="1:54" s="109" customFormat="1" ht="11.25" x14ac:dyDescent="0.2">
      <c r="A423" s="284"/>
      <c r="B423" s="311"/>
      <c r="C423" s="37">
        <v>18</v>
      </c>
      <c r="D423" s="95" t="s">
        <v>252</v>
      </c>
      <c r="E423" s="95"/>
      <c r="F423" s="95"/>
      <c r="G423" s="95"/>
      <c r="H423" s="95"/>
      <c r="I423" s="95"/>
      <c r="J423" s="95"/>
      <c r="K423" s="95"/>
      <c r="L423" s="95"/>
      <c r="M423" s="95"/>
      <c r="N423" s="95"/>
      <c r="O423" s="95"/>
      <c r="P423" s="95"/>
      <c r="Q423" s="95"/>
      <c r="R423" s="95"/>
      <c r="S423" s="95"/>
      <c r="T423" s="95"/>
      <c r="U423" s="95"/>
      <c r="V423" s="95"/>
      <c r="W423" s="95"/>
      <c r="X423" s="95"/>
      <c r="Y423" s="95"/>
      <c r="Z423" s="95"/>
      <c r="AA423" s="95"/>
      <c r="AB423" s="95"/>
      <c r="AC423" s="95"/>
      <c r="AD423" s="267"/>
      <c r="AE423" s="268"/>
      <c r="AF423" s="269"/>
      <c r="AG423" s="273">
        <v>0</v>
      </c>
      <c r="AH423" s="274"/>
      <c r="AI423" s="274"/>
      <c r="AJ423" s="274"/>
      <c r="AK423" s="274"/>
      <c r="AL423" s="275"/>
      <c r="AO423" s="157">
        <f t="shared" si="76"/>
        <v>0</v>
      </c>
      <c r="AP423" s="157">
        <f t="shared" si="77"/>
        <v>0</v>
      </c>
      <c r="AQ423" s="156"/>
      <c r="AR423" s="160">
        <f t="shared" si="81"/>
        <v>0</v>
      </c>
      <c r="AS423" s="160">
        <f t="shared" si="78"/>
        <v>0</v>
      </c>
      <c r="AT423" s="8">
        <f t="shared" si="82"/>
        <v>0</v>
      </c>
      <c r="AW423" s="8">
        <f t="shared" si="79"/>
        <v>0</v>
      </c>
      <c r="AZ423" s="8">
        <f t="shared" si="83"/>
        <v>0</v>
      </c>
      <c r="BB423" s="8">
        <f t="shared" si="80"/>
        <v>0</v>
      </c>
    </row>
    <row r="424" spans="1:54" s="109" customFormat="1" ht="11.25" x14ac:dyDescent="0.2">
      <c r="A424" s="284"/>
      <c r="B424" s="311"/>
      <c r="C424" s="37">
        <v>19</v>
      </c>
      <c r="D424" s="95" t="s">
        <v>253</v>
      </c>
      <c r="E424" s="95"/>
      <c r="F424" s="95"/>
      <c r="G424" s="95"/>
      <c r="H424" s="95"/>
      <c r="I424" s="95"/>
      <c r="J424" s="95"/>
      <c r="K424" s="95"/>
      <c r="L424" s="95"/>
      <c r="M424" s="95"/>
      <c r="N424" s="95"/>
      <c r="O424" s="95"/>
      <c r="P424" s="95"/>
      <c r="Q424" s="95"/>
      <c r="R424" s="95"/>
      <c r="S424" s="95"/>
      <c r="T424" s="95"/>
      <c r="U424" s="95"/>
      <c r="V424" s="95"/>
      <c r="W424" s="95"/>
      <c r="X424" s="95"/>
      <c r="Y424" s="95"/>
      <c r="Z424" s="95"/>
      <c r="AA424" s="95"/>
      <c r="AB424" s="95"/>
      <c r="AC424" s="95"/>
      <c r="AD424" s="267"/>
      <c r="AE424" s="268"/>
      <c r="AF424" s="269"/>
      <c r="AG424" s="273">
        <v>0</v>
      </c>
      <c r="AH424" s="274"/>
      <c r="AI424" s="274"/>
      <c r="AJ424" s="274"/>
      <c r="AK424" s="274"/>
      <c r="AL424" s="275"/>
      <c r="AO424" s="157">
        <f t="shared" si="76"/>
        <v>0</v>
      </c>
      <c r="AP424" s="157">
        <f t="shared" si="77"/>
        <v>0</v>
      </c>
      <c r="AQ424" s="156"/>
      <c r="AR424" s="160">
        <f t="shared" si="81"/>
        <v>0</v>
      </c>
      <c r="AS424" s="160">
        <f t="shared" si="78"/>
        <v>0</v>
      </c>
      <c r="AT424" s="8">
        <f t="shared" si="82"/>
        <v>0</v>
      </c>
      <c r="AW424" s="8">
        <f>IF(AND(AD424="No",AP424&gt;0),1,0)</f>
        <v>0</v>
      </c>
      <c r="AZ424" s="8">
        <f t="shared" si="83"/>
        <v>0</v>
      </c>
      <c r="BB424" s="8">
        <f t="shared" si="80"/>
        <v>0</v>
      </c>
    </row>
    <row r="425" spans="1:54" s="109" customFormat="1" ht="11.25" x14ac:dyDescent="0.2">
      <c r="A425" s="284"/>
      <c r="B425" s="311"/>
      <c r="C425" s="37">
        <v>20</v>
      </c>
      <c r="D425" s="95" t="s">
        <v>270</v>
      </c>
      <c r="E425" s="95"/>
      <c r="F425" s="95"/>
      <c r="G425" s="95"/>
      <c r="H425" s="95"/>
      <c r="I425" s="95"/>
      <c r="J425" s="95"/>
      <c r="K425" s="95"/>
      <c r="L425" s="95"/>
      <c r="M425" s="95"/>
      <c r="N425" s="95"/>
      <c r="O425" s="95"/>
      <c r="P425" s="95"/>
      <c r="Q425" s="95"/>
      <c r="R425" s="95"/>
      <c r="S425" s="95"/>
      <c r="T425" s="95"/>
      <c r="U425" s="95"/>
      <c r="V425" s="95"/>
      <c r="W425" s="95"/>
      <c r="X425" s="95"/>
      <c r="Y425" s="95"/>
      <c r="Z425" s="95"/>
      <c r="AA425" s="95"/>
      <c r="AB425" s="95"/>
      <c r="AC425" s="95"/>
      <c r="AD425" s="267"/>
      <c r="AE425" s="268"/>
      <c r="AF425" s="269"/>
      <c r="AG425" s="273">
        <v>0</v>
      </c>
      <c r="AH425" s="274"/>
      <c r="AI425" s="274"/>
      <c r="AJ425" s="274"/>
      <c r="AK425" s="274"/>
      <c r="AL425" s="275"/>
      <c r="AO425" s="157">
        <f t="shared" si="76"/>
        <v>0</v>
      </c>
      <c r="AP425" s="157">
        <f t="shared" si="77"/>
        <v>0</v>
      </c>
      <c r="AQ425" s="156"/>
      <c r="AR425" s="160">
        <f t="shared" si="81"/>
        <v>0</v>
      </c>
      <c r="AS425" s="160">
        <f t="shared" si="78"/>
        <v>0</v>
      </c>
      <c r="AT425" s="8">
        <f t="shared" si="82"/>
        <v>0</v>
      </c>
      <c r="AW425" s="8">
        <f t="shared" ref="AW425:AW426" si="84">IF(AND(AD425="No",AP425&gt;0),1,0)</f>
        <v>0</v>
      </c>
      <c r="AZ425" s="8">
        <f t="shared" si="83"/>
        <v>0</v>
      </c>
      <c r="BB425" s="8">
        <f t="shared" si="80"/>
        <v>0</v>
      </c>
    </row>
    <row r="426" spans="1:54" s="109" customFormat="1" ht="11.25" x14ac:dyDescent="0.2">
      <c r="A426" s="284"/>
      <c r="B426" s="311"/>
      <c r="C426" s="37">
        <v>21</v>
      </c>
      <c r="D426" s="95" t="s">
        <v>243</v>
      </c>
      <c r="E426" s="95"/>
      <c r="F426" s="95"/>
      <c r="G426" s="95"/>
      <c r="H426" s="95"/>
      <c r="I426" s="95"/>
      <c r="J426" s="95"/>
      <c r="K426" s="95"/>
      <c r="L426" s="95"/>
      <c r="M426" s="95"/>
      <c r="N426" s="95"/>
      <c r="O426" s="95"/>
      <c r="P426" s="95"/>
      <c r="Q426" s="95"/>
      <c r="R426" s="95"/>
      <c r="S426" s="95"/>
      <c r="T426" s="95"/>
      <c r="U426" s="95"/>
      <c r="V426" s="95"/>
      <c r="W426" s="95"/>
      <c r="X426" s="95"/>
      <c r="Y426" s="95"/>
      <c r="Z426" s="95"/>
      <c r="AA426" s="95"/>
      <c r="AB426" s="95"/>
      <c r="AC426" s="95"/>
      <c r="AD426" s="267"/>
      <c r="AE426" s="268"/>
      <c r="AF426" s="269"/>
      <c r="AG426" s="273">
        <v>0</v>
      </c>
      <c r="AH426" s="274"/>
      <c r="AI426" s="274"/>
      <c r="AJ426" s="274"/>
      <c r="AK426" s="274"/>
      <c r="AL426" s="275"/>
      <c r="AO426" s="157">
        <f t="shared" si="76"/>
        <v>0</v>
      </c>
      <c r="AP426" s="157">
        <f t="shared" si="77"/>
        <v>0</v>
      </c>
      <c r="AQ426" s="156"/>
      <c r="AR426" s="160">
        <f t="shared" si="81"/>
        <v>0</v>
      </c>
      <c r="AS426" s="160">
        <f t="shared" si="78"/>
        <v>0</v>
      </c>
      <c r="AT426" s="8">
        <f t="shared" si="82"/>
        <v>0</v>
      </c>
      <c r="AU426" s="8">
        <f>IF(AND(AM404=1,SUM(BB414:BB426)=0),1,0)</f>
        <v>0</v>
      </c>
      <c r="AV426" s="8">
        <f>IF(AND(AM404=1,SUM(AO414:AO426)&gt;0,SUM(AP414:AP425)=0,SUM(AR414:AS426)=0,SUM(AT414:AT426)=0,AP426&gt;0,AG426&lt;&gt;AN404),1,0)</f>
        <v>0</v>
      </c>
      <c r="AW426" s="8">
        <f t="shared" si="84"/>
        <v>0</v>
      </c>
      <c r="BB426" s="8">
        <f t="shared" si="80"/>
        <v>0</v>
      </c>
    </row>
    <row r="427" spans="1:54" s="109" customFormat="1" ht="11.25" x14ac:dyDescent="0.2">
      <c r="A427" s="284"/>
      <c r="B427" s="311"/>
      <c r="C427" s="101" t="s">
        <v>244</v>
      </c>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31"/>
      <c r="Z427" s="131"/>
      <c r="AA427" s="131"/>
      <c r="AB427" s="131"/>
      <c r="AC427" s="131"/>
      <c r="AD427" s="270" t="s">
        <v>375</v>
      </c>
      <c r="AE427" s="271"/>
      <c r="AF427" s="272"/>
      <c r="AG427" s="128"/>
      <c r="AH427" s="128"/>
      <c r="AI427" s="128"/>
      <c r="AJ427" s="128"/>
      <c r="AK427" s="128"/>
      <c r="AL427" s="129"/>
      <c r="AN427" s="8" t="s">
        <v>425</v>
      </c>
      <c r="AO427" s="159"/>
      <c r="AP427" s="157"/>
      <c r="AQ427" s="156"/>
      <c r="AR427" s="160"/>
      <c r="AS427" s="160"/>
      <c r="AT427" s="8"/>
      <c r="AW427" s="8"/>
    </row>
    <row r="428" spans="1:54" s="109" customFormat="1" ht="11.25" x14ac:dyDescent="0.2">
      <c r="A428" s="284"/>
      <c r="B428" s="311"/>
      <c r="C428" s="37">
        <v>22</v>
      </c>
      <c r="D428" s="95" t="s">
        <v>245</v>
      </c>
      <c r="E428" s="95"/>
      <c r="F428" s="95"/>
      <c r="G428" s="95"/>
      <c r="H428" s="95"/>
      <c r="I428" s="95"/>
      <c r="J428" s="95"/>
      <c r="K428" s="95"/>
      <c r="L428" s="95"/>
      <c r="M428" s="95"/>
      <c r="N428" s="95"/>
      <c r="O428" s="95"/>
      <c r="P428" s="95"/>
      <c r="Q428" s="95"/>
      <c r="R428" s="95"/>
      <c r="S428" s="95"/>
      <c r="T428" s="95"/>
      <c r="U428" s="95"/>
      <c r="V428" s="95"/>
      <c r="W428" s="95"/>
      <c r="X428" s="95"/>
      <c r="Y428" s="95"/>
      <c r="Z428" s="95"/>
      <c r="AA428" s="95"/>
      <c r="AB428" s="95"/>
      <c r="AC428" s="95"/>
      <c r="AD428" s="267"/>
      <c r="AE428" s="268"/>
      <c r="AF428" s="269"/>
      <c r="AG428" s="273">
        <v>0</v>
      </c>
      <c r="AH428" s="274"/>
      <c r="AI428" s="274"/>
      <c r="AJ428" s="274"/>
      <c r="AK428" s="274"/>
      <c r="AL428" s="275"/>
      <c r="AN428" s="8">
        <f>MAX(AG428:AL433)</f>
        <v>0</v>
      </c>
      <c r="AO428" s="157">
        <f t="shared" ref="AO428:AO433" si="85">IF(AD428=0,0,1)</f>
        <v>0</v>
      </c>
      <c r="AP428" s="157">
        <f t="shared" ref="AP428:AP433" si="86">IF(AG428=0,0,1)</f>
        <v>0</v>
      </c>
      <c r="AQ428" s="156"/>
      <c r="AR428" s="160">
        <f t="shared" ref="AR428:AR433" si="87">IF(AND(SUM(AO428:AP428)&gt;0,AO428=0),1,0)</f>
        <v>0</v>
      </c>
      <c r="AS428" s="160">
        <f t="shared" ref="AS428:AS433" si="88">IF(AND(SUM(AO428:AP428)&gt;0,AP428=0,AD428="Yes"),1,0)</f>
        <v>0</v>
      </c>
      <c r="AT428" s="8">
        <f t="shared" si="82"/>
        <v>0</v>
      </c>
      <c r="AW428" s="8">
        <f t="shared" ref="AW428:AW433" si="89">IF(AND(AD428="No",AP428&gt;0),1,0)</f>
        <v>0</v>
      </c>
    </row>
    <row r="429" spans="1:54" s="109" customFormat="1" ht="11.25" x14ac:dyDescent="0.2">
      <c r="A429" s="284"/>
      <c r="B429" s="311"/>
      <c r="C429" s="37">
        <v>23</v>
      </c>
      <c r="D429" s="95" t="s">
        <v>246</v>
      </c>
      <c r="E429" s="95"/>
      <c r="F429" s="95"/>
      <c r="G429" s="95"/>
      <c r="H429" s="95"/>
      <c r="I429" s="95"/>
      <c r="J429" s="95"/>
      <c r="K429" s="95"/>
      <c r="L429" s="95"/>
      <c r="M429" s="95"/>
      <c r="N429" s="95"/>
      <c r="O429" s="95"/>
      <c r="P429" s="95"/>
      <c r="Q429" s="95"/>
      <c r="R429" s="95"/>
      <c r="S429" s="95"/>
      <c r="T429" s="95"/>
      <c r="U429" s="95"/>
      <c r="V429" s="95"/>
      <c r="W429" s="95"/>
      <c r="X429" s="95"/>
      <c r="Y429" s="95"/>
      <c r="Z429" s="95"/>
      <c r="AA429" s="95"/>
      <c r="AB429" s="95"/>
      <c r="AC429" s="95"/>
      <c r="AD429" s="267"/>
      <c r="AE429" s="268"/>
      <c r="AF429" s="269"/>
      <c r="AG429" s="273">
        <v>0</v>
      </c>
      <c r="AH429" s="274"/>
      <c r="AI429" s="274"/>
      <c r="AJ429" s="274"/>
      <c r="AK429" s="274"/>
      <c r="AL429" s="275"/>
      <c r="AO429" s="157">
        <f t="shared" si="85"/>
        <v>0</v>
      </c>
      <c r="AP429" s="157">
        <f t="shared" si="86"/>
        <v>0</v>
      </c>
      <c r="AQ429" s="156"/>
      <c r="AR429" s="160">
        <f t="shared" si="87"/>
        <v>0</v>
      </c>
      <c r="AS429" s="160">
        <f t="shared" si="88"/>
        <v>0</v>
      </c>
      <c r="AT429" s="8">
        <f t="shared" si="82"/>
        <v>0</v>
      </c>
      <c r="AW429" s="8">
        <f t="shared" si="89"/>
        <v>0</v>
      </c>
    </row>
    <row r="430" spans="1:54" s="109" customFormat="1" ht="11.25" x14ac:dyDescent="0.2">
      <c r="A430" s="284"/>
      <c r="B430" s="311"/>
      <c r="C430" s="37">
        <v>24</v>
      </c>
      <c r="D430" s="95" t="s">
        <v>247</v>
      </c>
      <c r="E430" s="95"/>
      <c r="F430" s="95"/>
      <c r="G430" s="95"/>
      <c r="H430" s="95"/>
      <c r="I430" s="95"/>
      <c r="J430" s="95"/>
      <c r="K430" s="95"/>
      <c r="L430" s="95"/>
      <c r="M430" s="95"/>
      <c r="N430" s="95"/>
      <c r="O430" s="95"/>
      <c r="P430" s="95"/>
      <c r="Q430" s="95"/>
      <c r="R430" s="95"/>
      <c r="S430" s="95"/>
      <c r="T430" s="95"/>
      <c r="U430" s="95"/>
      <c r="V430" s="95"/>
      <c r="W430" s="95"/>
      <c r="X430" s="95"/>
      <c r="Y430" s="95"/>
      <c r="Z430" s="95"/>
      <c r="AA430" s="95"/>
      <c r="AB430" s="95"/>
      <c r="AC430" s="95"/>
      <c r="AD430" s="267"/>
      <c r="AE430" s="268"/>
      <c r="AF430" s="269"/>
      <c r="AG430" s="273">
        <v>0</v>
      </c>
      <c r="AH430" s="274"/>
      <c r="AI430" s="274"/>
      <c r="AJ430" s="274"/>
      <c r="AK430" s="274"/>
      <c r="AL430" s="275"/>
      <c r="AO430" s="157">
        <f t="shared" si="85"/>
        <v>0</v>
      </c>
      <c r="AP430" s="157">
        <f t="shared" si="86"/>
        <v>0</v>
      </c>
      <c r="AQ430" s="156"/>
      <c r="AR430" s="160">
        <f t="shared" si="87"/>
        <v>0</v>
      </c>
      <c r="AS430" s="160">
        <f t="shared" si="88"/>
        <v>0</v>
      </c>
      <c r="AT430" s="8">
        <f t="shared" si="82"/>
        <v>0</v>
      </c>
      <c r="AW430" s="8">
        <f t="shared" si="89"/>
        <v>0</v>
      </c>
    </row>
    <row r="431" spans="1:54" s="109" customFormat="1" ht="11.25" x14ac:dyDescent="0.2">
      <c r="A431" s="284"/>
      <c r="B431" s="311"/>
      <c r="C431" s="37">
        <v>25</v>
      </c>
      <c r="D431" s="95" t="s">
        <v>248</v>
      </c>
      <c r="E431" s="95"/>
      <c r="F431" s="95"/>
      <c r="G431" s="95"/>
      <c r="H431" s="95"/>
      <c r="I431" s="95"/>
      <c r="J431" s="95"/>
      <c r="K431" s="95"/>
      <c r="L431" s="95"/>
      <c r="M431" s="95"/>
      <c r="N431" s="95"/>
      <c r="O431" s="95"/>
      <c r="P431" s="95"/>
      <c r="Q431" s="95"/>
      <c r="R431" s="95"/>
      <c r="S431" s="95"/>
      <c r="T431" s="95"/>
      <c r="U431" s="95"/>
      <c r="V431" s="95"/>
      <c r="W431" s="95"/>
      <c r="X431" s="95"/>
      <c r="Y431" s="95"/>
      <c r="Z431" s="95"/>
      <c r="AA431" s="95"/>
      <c r="AB431" s="95"/>
      <c r="AC431" s="95"/>
      <c r="AD431" s="267"/>
      <c r="AE431" s="268"/>
      <c r="AF431" s="269"/>
      <c r="AG431" s="273">
        <v>0</v>
      </c>
      <c r="AH431" s="274"/>
      <c r="AI431" s="274"/>
      <c r="AJ431" s="274"/>
      <c r="AK431" s="274"/>
      <c r="AL431" s="275"/>
      <c r="AO431" s="157">
        <f t="shared" si="85"/>
        <v>0</v>
      </c>
      <c r="AP431" s="157">
        <f t="shared" si="86"/>
        <v>0</v>
      </c>
      <c r="AQ431" s="156"/>
      <c r="AR431" s="160">
        <f t="shared" si="87"/>
        <v>0</v>
      </c>
      <c r="AS431" s="160">
        <f t="shared" si="88"/>
        <v>0</v>
      </c>
      <c r="AT431" s="8">
        <f t="shared" si="82"/>
        <v>0</v>
      </c>
      <c r="AW431" s="8">
        <f t="shared" si="89"/>
        <v>0</v>
      </c>
    </row>
    <row r="432" spans="1:54" s="109" customFormat="1" ht="11.25" x14ac:dyDescent="0.2">
      <c r="A432" s="284"/>
      <c r="B432" s="311"/>
      <c r="C432" s="37">
        <v>26</v>
      </c>
      <c r="D432" s="95" t="s">
        <v>249</v>
      </c>
      <c r="E432" s="95"/>
      <c r="F432" s="95"/>
      <c r="G432" s="95"/>
      <c r="H432" s="95"/>
      <c r="I432" s="95"/>
      <c r="J432" s="95"/>
      <c r="K432" s="95"/>
      <c r="L432" s="95"/>
      <c r="M432" s="95"/>
      <c r="N432" s="95"/>
      <c r="O432" s="95"/>
      <c r="P432" s="95"/>
      <c r="Q432" s="95"/>
      <c r="R432" s="95"/>
      <c r="S432" s="95"/>
      <c r="T432" s="95"/>
      <c r="U432" s="95"/>
      <c r="V432" s="95"/>
      <c r="W432" s="95"/>
      <c r="X432" s="95"/>
      <c r="Y432" s="95"/>
      <c r="Z432" s="95"/>
      <c r="AA432" s="95"/>
      <c r="AB432" s="95"/>
      <c r="AC432" s="95"/>
      <c r="AD432" s="267"/>
      <c r="AE432" s="268"/>
      <c r="AF432" s="269"/>
      <c r="AG432" s="273">
        <v>0</v>
      </c>
      <c r="AH432" s="274"/>
      <c r="AI432" s="274"/>
      <c r="AJ432" s="274"/>
      <c r="AK432" s="274"/>
      <c r="AL432" s="275"/>
      <c r="AO432" s="157">
        <f t="shared" si="85"/>
        <v>0</v>
      </c>
      <c r="AP432" s="157">
        <f t="shared" si="86"/>
        <v>0</v>
      </c>
      <c r="AQ432" s="156"/>
      <c r="AR432" s="160">
        <f t="shared" si="87"/>
        <v>0</v>
      </c>
      <c r="AS432" s="160">
        <f t="shared" si="88"/>
        <v>0</v>
      </c>
      <c r="AT432" s="8">
        <f t="shared" si="82"/>
        <v>0</v>
      </c>
      <c r="AW432" s="8">
        <f t="shared" si="89"/>
        <v>0</v>
      </c>
    </row>
    <row r="433" spans="1:54" s="109" customFormat="1" ht="11.25" x14ac:dyDescent="0.2">
      <c r="A433" s="284"/>
      <c r="B433" s="311"/>
      <c r="C433" s="37">
        <v>27</v>
      </c>
      <c r="D433" s="95" t="s">
        <v>250</v>
      </c>
      <c r="E433" s="95"/>
      <c r="F433" s="95"/>
      <c r="G433" s="95"/>
      <c r="H433" s="95"/>
      <c r="I433" s="95"/>
      <c r="J433" s="95"/>
      <c r="K433" s="95"/>
      <c r="L433" s="95"/>
      <c r="M433" s="95"/>
      <c r="N433" s="95"/>
      <c r="O433" s="95"/>
      <c r="P433" s="95"/>
      <c r="Q433" s="95"/>
      <c r="R433" s="95"/>
      <c r="S433" s="95"/>
      <c r="T433" s="95"/>
      <c r="U433" s="95"/>
      <c r="V433" s="95"/>
      <c r="W433" s="95"/>
      <c r="X433" s="95"/>
      <c r="Y433" s="95"/>
      <c r="Z433" s="95"/>
      <c r="AA433" s="95"/>
      <c r="AB433" s="95"/>
      <c r="AC433" s="95"/>
      <c r="AD433" s="267"/>
      <c r="AE433" s="268"/>
      <c r="AF433" s="269"/>
      <c r="AG433" s="273">
        <v>0</v>
      </c>
      <c r="AH433" s="274"/>
      <c r="AI433" s="274"/>
      <c r="AJ433" s="274"/>
      <c r="AK433" s="274"/>
      <c r="AL433" s="275"/>
      <c r="AO433" s="157">
        <f t="shared" si="85"/>
        <v>0</v>
      </c>
      <c r="AP433" s="157">
        <f t="shared" si="86"/>
        <v>0</v>
      </c>
      <c r="AQ433" s="156"/>
      <c r="AR433" s="160">
        <f t="shared" si="87"/>
        <v>0</v>
      </c>
      <c r="AS433" s="160">
        <f t="shared" si="88"/>
        <v>0</v>
      </c>
      <c r="AT433" s="8">
        <f t="shared" si="82"/>
        <v>0</v>
      </c>
      <c r="AW433" s="8">
        <f t="shared" si="89"/>
        <v>0</v>
      </c>
    </row>
    <row r="434" spans="1:54" s="109" customFormat="1" ht="11.25" x14ac:dyDescent="0.2">
      <c r="A434" s="284"/>
      <c r="B434" s="311"/>
      <c r="C434" s="101" t="s">
        <v>259</v>
      </c>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31"/>
      <c r="Z434" s="131"/>
      <c r="AA434" s="131"/>
      <c r="AB434" s="131"/>
      <c r="AC434" s="131"/>
      <c r="AD434" s="131"/>
      <c r="AE434" s="131"/>
      <c r="AF434" s="131"/>
      <c r="AG434" s="128"/>
      <c r="AH434" s="128"/>
      <c r="AI434" s="128"/>
      <c r="AJ434" s="128"/>
      <c r="AK434" s="128"/>
      <c r="AL434" s="129"/>
      <c r="AN434" s="109" t="s">
        <v>510</v>
      </c>
      <c r="AO434" s="159"/>
      <c r="AP434" s="157"/>
      <c r="AQ434" s="156"/>
      <c r="AR434" s="160"/>
      <c r="AS434" s="160"/>
      <c r="AT434" s="8"/>
      <c r="AW434" s="8"/>
    </row>
    <row r="435" spans="1:54" s="109" customFormat="1" ht="11.25" x14ac:dyDescent="0.2">
      <c r="A435" s="284"/>
      <c r="B435" s="311"/>
      <c r="C435" s="37">
        <v>28</v>
      </c>
      <c r="D435" s="95" t="s">
        <v>274</v>
      </c>
      <c r="E435" s="95"/>
      <c r="F435" s="95"/>
      <c r="G435" s="95"/>
      <c r="H435" s="95"/>
      <c r="I435" s="95"/>
      <c r="J435" s="95"/>
      <c r="K435" s="95"/>
      <c r="L435" s="95"/>
      <c r="M435" s="95"/>
      <c r="N435" s="95"/>
      <c r="O435" s="95"/>
      <c r="P435" s="95"/>
      <c r="Q435" s="95"/>
      <c r="R435" s="95"/>
      <c r="S435" s="95"/>
      <c r="T435" s="95"/>
      <c r="U435" s="95"/>
      <c r="V435" s="95"/>
      <c r="W435" s="95"/>
      <c r="X435" s="95"/>
      <c r="Y435" s="95"/>
      <c r="Z435" s="95"/>
      <c r="AA435" s="95"/>
      <c r="AB435" s="95"/>
      <c r="AC435" s="95"/>
      <c r="AD435" s="95"/>
      <c r="AE435" s="95"/>
      <c r="AF435" s="95"/>
      <c r="AG435" s="273">
        <v>0</v>
      </c>
      <c r="AH435" s="274"/>
      <c r="AI435" s="274"/>
      <c r="AJ435" s="274"/>
      <c r="AK435" s="274"/>
      <c r="AL435" s="275"/>
      <c r="AM435" s="109" t="s">
        <v>514</v>
      </c>
      <c r="AN435" s="8">
        <f>IF(B449=CONCATENATE("Error. Number of households cannot exceed ",AN404,"."),1,0)</f>
        <v>0</v>
      </c>
      <c r="AO435" s="159"/>
      <c r="AP435" s="157">
        <f t="shared" ref="AP435:AP448" si="90">IF(AG435=0,0,1)</f>
        <v>0</v>
      </c>
      <c r="AQ435" s="155">
        <f>SUM(AG435:AL448)</f>
        <v>0</v>
      </c>
      <c r="AR435" s="160"/>
      <c r="AS435" s="160"/>
      <c r="AT435" s="8"/>
      <c r="AW435" s="8"/>
    </row>
    <row r="436" spans="1:54" s="109" customFormat="1" ht="11.25" x14ac:dyDescent="0.2">
      <c r="A436" s="284"/>
      <c r="B436" s="311"/>
      <c r="C436" s="37">
        <v>29</v>
      </c>
      <c r="D436" s="95" t="s">
        <v>275</v>
      </c>
      <c r="E436" s="95"/>
      <c r="F436" s="95"/>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273">
        <v>0</v>
      </c>
      <c r="AH436" s="274"/>
      <c r="AI436" s="274"/>
      <c r="AJ436" s="274"/>
      <c r="AK436" s="274"/>
      <c r="AL436" s="275"/>
      <c r="AM436" s="109" t="s">
        <v>515</v>
      </c>
      <c r="AN436" s="8">
        <f>IF(B449=CONCATENATE("Enter the number of households by income level. Total must equal ",AN404,". You've entered ",AQ404,"."),1,0)</f>
        <v>0</v>
      </c>
      <c r="AO436" s="159"/>
      <c r="AP436" s="157">
        <f t="shared" si="90"/>
        <v>0</v>
      </c>
      <c r="AQ436" s="156"/>
      <c r="AR436" s="160"/>
      <c r="AS436" s="160"/>
      <c r="AT436" s="8"/>
      <c r="AW436" s="8"/>
    </row>
    <row r="437" spans="1:54" s="109" customFormat="1" ht="11.25" x14ac:dyDescent="0.2">
      <c r="A437" s="284"/>
      <c r="B437" s="311"/>
      <c r="C437" s="37">
        <v>30</v>
      </c>
      <c r="D437" s="95" t="s">
        <v>276</v>
      </c>
      <c r="E437" s="95"/>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273">
        <v>0</v>
      </c>
      <c r="AH437" s="274"/>
      <c r="AI437" s="274"/>
      <c r="AJ437" s="274"/>
      <c r="AK437" s="274"/>
      <c r="AL437" s="275"/>
      <c r="AM437" s="109" t="s">
        <v>228</v>
      </c>
      <c r="AN437" s="8">
        <f>IF(B449=CONCATENATE("Enter the number of households by longevity. Total must equal ",AN404,". You've entered ",AQ408,"."),1,0)</f>
        <v>0</v>
      </c>
      <c r="AO437" s="159"/>
      <c r="AP437" s="157">
        <f t="shared" si="90"/>
        <v>0</v>
      </c>
      <c r="AQ437" s="156"/>
      <c r="AR437" s="160"/>
      <c r="AS437" s="160"/>
      <c r="AT437" s="8"/>
      <c r="AW437" s="8"/>
    </row>
    <row r="438" spans="1:54" s="109" customFormat="1" ht="11.25" x14ac:dyDescent="0.2">
      <c r="A438" s="284"/>
      <c r="B438" s="311"/>
      <c r="C438" s="37">
        <v>31</v>
      </c>
      <c r="D438" s="95" t="s">
        <v>277</v>
      </c>
      <c r="E438" s="95"/>
      <c r="F438" s="95"/>
      <c r="G438" s="95"/>
      <c r="H438" s="95"/>
      <c r="I438" s="95"/>
      <c r="J438" s="95"/>
      <c r="K438" s="95"/>
      <c r="L438" s="95"/>
      <c r="M438" s="95"/>
      <c r="N438" s="95"/>
      <c r="O438" s="95"/>
      <c r="P438" s="95"/>
      <c r="Q438" s="95"/>
      <c r="R438" s="95"/>
      <c r="S438" s="95"/>
      <c r="T438" s="95"/>
      <c r="U438" s="95"/>
      <c r="V438" s="95"/>
      <c r="W438" s="95"/>
      <c r="X438" s="95"/>
      <c r="Y438" s="95"/>
      <c r="Z438" s="95"/>
      <c r="AA438" s="95"/>
      <c r="AB438" s="95"/>
      <c r="AC438" s="95"/>
      <c r="AD438" s="95"/>
      <c r="AE438" s="95"/>
      <c r="AF438" s="95"/>
      <c r="AG438" s="273">
        <v>0</v>
      </c>
      <c r="AH438" s="274"/>
      <c r="AI438" s="274"/>
      <c r="AJ438" s="274"/>
      <c r="AK438" s="274"/>
      <c r="AL438" s="275"/>
      <c r="AM438" s="109" t="s">
        <v>516</v>
      </c>
      <c r="AN438" s="8">
        <f>IF(B449=CONCATENATE("Error. If ",AG426," out of ",AN404," households had no income, then the number of households for each other income category cannot exceed ",AN414,"."),1,0)</f>
        <v>0</v>
      </c>
      <c r="AO438" s="159"/>
      <c r="AP438" s="157">
        <f t="shared" si="90"/>
        <v>0</v>
      </c>
      <c r="AQ438" s="156"/>
      <c r="AR438" s="160"/>
      <c r="AS438" s="160"/>
      <c r="AT438" s="8"/>
      <c r="AW438" s="8"/>
    </row>
    <row r="439" spans="1:54" s="109" customFormat="1" ht="11.25" x14ac:dyDescent="0.2">
      <c r="A439" s="284"/>
      <c r="B439" s="311"/>
      <c r="C439" s="37">
        <v>32</v>
      </c>
      <c r="D439" s="95" t="s">
        <v>278</v>
      </c>
      <c r="E439" s="95"/>
      <c r="F439" s="95"/>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273">
        <v>0</v>
      </c>
      <c r="AH439" s="274"/>
      <c r="AI439" s="274"/>
      <c r="AJ439" s="274"/>
      <c r="AK439" s="274"/>
      <c r="AL439" s="275"/>
      <c r="AM439" s="109" t="s">
        <v>517</v>
      </c>
      <c r="AN439" s="8">
        <f>IF(B449=CONCATENATE("If no households accessed and/or maintained any sources of income, then the total number of households that had no income should equal ",AN404,"."),1,0)</f>
        <v>0</v>
      </c>
      <c r="AO439" s="159"/>
      <c r="AP439" s="157">
        <f t="shared" si="90"/>
        <v>0</v>
      </c>
      <c r="AQ439" s="156"/>
      <c r="AR439" s="160"/>
      <c r="AS439" s="160"/>
      <c r="AT439" s="8"/>
      <c r="AW439" s="8"/>
    </row>
    <row r="440" spans="1:54" s="109" customFormat="1" ht="11.25" x14ac:dyDescent="0.2">
      <c r="A440" s="284"/>
      <c r="B440" s="311"/>
      <c r="C440" s="37">
        <v>33</v>
      </c>
      <c r="D440" s="95" t="s">
        <v>279</v>
      </c>
      <c r="E440" s="95"/>
      <c r="F440" s="95"/>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273">
        <v>0</v>
      </c>
      <c r="AH440" s="274"/>
      <c r="AI440" s="274"/>
      <c r="AJ440" s="274"/>
      <c r="AK440" s="274"/>
      <c r="AL440" s="275"/>
      <c r="AM440" s="109" t="s">
        <v>518</v>
      </c>
      <c r="AN440" s="8">
        <f>IF(B449=CONCATENATE("Error. If ",AG426," out of ",AN404," households had no income, then the total number of households for all other income categories cannot be less than ",AN414," at minimum."),1,0)</f>
        <v>0</v>
      </c>
      <c r="AO440" s="159"/>
      <c r="AP440" s="157">
        <f t="shared" si="90"/>
        <v>0</v>
      </c>
      <c r="AQ440" s="156"/>
      <c r="AR440" s="160"/>
      <c r="AS440" s="160"/>
      <c r="AT440" s="8"/>
      <c r="AW440" s="8"/>
    </row>
    <row r="441" spans="1:54" s="109" customFormat="1" ht="11.25" x14ac:dyDescent="0.2">
      <c r="A441" s="284"/>
      <c r="B441" s="311"/>
      <c r="C441" s="37">
        <v>34</v>
      </c>
      <c r="D441" s="95" t="s">
        <v>280</v>
      </c>
      <c r="E441" s="95"/>
      <c r="F441" s="95"/>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273">
        <v>0</v>
      </c>
      <c r="AH441" s="274"/>
      <c r="AI441" s="274"/>
      <c r="AJ441" s="274"/>
      <c r="AK441" s="274"/>
      <c r="AL441" s="275"/>
      <c r="AM441" s="109" t="s">
        <v>519</v>
      </c>
      <c r="AN441" s="8">
        <f>IF(B449=CONCATENATE("Error. The total number of households for these income categories cannot be less than ",AN414," at minimum."),1,0)</f>
        <v>0</v>
      </c>
      <c r="AO441" s="159"/>
      <c r="AP441" s="157">
        <f t="shared" si="90"/>
        <v>0</v>
      </c>
      <c r="AQ441" s="156"/>
      <c r="AR441" s="160"/>
      <c r="AS441" s="160"/>
      <c r="AT441" s="8"/>
      <c r="AW441" s="8"/>
    </row>
    <row r="442" spans="1:54" s="109" customFormat="1" ht="11.25" x14ac:dyDescent="0.2">
      <c r="A442" s="284"/>
      <c r="B442" s="311"/>
      <c r="C442" s="37">
        <v>35</v>
      </c>
      <c r="D442" s="95" t="s">
        <v>281</v>
      </c>
      <c r="E442" s="95"/>
      <c r="F442" s="95"/>
      <c r="G442" s="95"/>
      <c r="H442" s="95"/>
      <c r="I442" s="95"/>
      <c r="J442" s="95"/>
      <c r="K442" s="95"/>
      <c r="L442" s="95"/>
      <c r="M442" s="95"/>
      <c r="N442" s="95"/>
      <c r="O442" s="95"/>
      <c r="P442" s="95"/>
      <c r="Q442" s="95"/>
      <c r="R442" s="95"/>
      <c r="S442" s="95"/>
      <c r="T442" s="95"/>
      <c r="U442" s="95"/>
      <c r="V442" s="95"/>
      <c r="W442" s="95"/>
      <c r="X442" s="95"/>
      <c r="Y442" s="95"/>
      <c r="Z442" s="95"/>
      <c r="AA442" s="95"/>
      <c r="AB442" s="95"/>
      <c r="AC442" s="95"/>
      <c r="AD442" s="95"/>
      <c r="AE442" s="95"/>
      <c r="AF442" s="95"/>
      <c r="AG442" s="273">
        <v>0</v>
      </c>
      <c r="AH442" s="274"/>
      <c r="AI442" s="274"/>
      <c r="AJ442" s="274"/>
      <c r="AK442" s="274"/>
      <c r="AL442" s="275"/>
      <c r="AM442" s="109" t="s">
        <v>520</v>
      </c>
      <c r="AN442" s="8">
        <f>IF(B449=CONCATENATE("Enter the number of households by household status. Total must equal ",AN404,". You've entered ",AQ435,"."),1,0)</f>
        <v>0</v>
      </c>
      <c r="AO442" s="159"/>
      <c r="AP442" s="157">
        <f t="shared" si="90"/>
        <v>0</v>
      </c>
      <c r="AQ442" s="156"/>
      <c r="AR442" s="160"/>
      <c r="AS442" s="160"/>
      <c r="AT442" s="8"/>
      <c r="AW442" s="8"/>
    </row>
    <row r="443" spans="1:54" s="109" customFormat="1" ht="11.25" x14ac:dyDescent="0.2">
      <c r="A443" s="284"/>
      <c r="B443" s="311"/>
      <c r="C443" s="37">
        <v>36</v>
      </c>
      <c r="D443" s="95" t="s">
        <v>282</v>
      </c>
      <c r="E443" s="95"/>
      <c r="F443" s="95"/>
      <c r="G443" s="95"/>
      <c r="H443" s="95"/>
      <c r="I443" s="95"/>
      <c r="J443" s="95"/>
      <c r="K443" s="95"/>
      <c r="L443" s="95"/>
      <c r="M443" s="95"/>
      <c r="N443" s="95"/>
      <c r="O443" s="95"/>
      <c r="P443" s="95"/>
      <c r="Q443" s="95"/>
      <c r="R443" s="95"/>
      <c r="S443" s="95"/>
      <c r="T443" s="95"/>
      <c r="U443" s="95"/>
      <c r="V443" s="95"/>
      <c r="W443" s="95"/>
      <c r="X443" s="95"/>
      <c r="Y443" s="95"/>
      <c r="Z443" s="95"/>
      <c r="AA443" s="95"/>
      <c r="AB443" s="95"/>
      <c r="AC443" s="95"/>
      <c r="AD443" s="95"/>
      <c r="AE443" s="95"/>
      <c r="AF443" s="95"/>
      <c r="AG443" s="273">
        <v>0</v>
      </c>
      <c r="AH443" s="274"/>
      <c r="AI443" s="274"/>
      <c r="AJ443" s="274"/>
      <c r="AK443" s="274"/>
      <c r="AL443" s="275"/>
      <c r="AO443" s="159"/>
      <c r="AP443" s="157">
        <f t="shared" si="90"/>
        <v>0</v>
      </c>
      <c r="AQ443" s="156"/>
      <c r="AR443" s="160"/>
      <c r="AS443" s="160"/>
      <c r="AT443" s="8"/>
      <c r="AW443" s="8"/>
    </row>
    <row r="444" spans="1:54" s="109" customFormat="1" ht="11.25" x14ac:dyDescent="0.2">
      <c r="A444" s="284"/>
      <c r="B444" s="311"/>
      <c r="C444" s="37">
        <v>37</v>
      </c>
      <c r="D444" s="95" t="s">
        <v>287</v>
      </c>
      <c r="E444" s="95"/>
      <c r="F444" s="95"/>
      <c r="G444" s="95"/>
      <c r="H444" s="95"/>
      <c r="I444" s="95"/>
      <c r="J444" s="95"/>
      <c r="K444" s="95"/>
      <c r="L444" s="95"/>
      <c r="M444" s="95"/>
      <c r="N444" s="95"/>
      <c r="O444" s="95"/>
      <c r="P444" s="95"/>
      <c r="Q444" s="95"/>
      <c r="R444" s="95"/>
      <c r="S444" s="95"/>
      <c r="T444" s="95"/>
      <c r="U444" s="95"/>
      <c r="V444" s="95"/>
      <c r="W444" s="95"/>
      <c r="X444" s="95"/>
      <c r="Y444" s="95"/>
      <c r="Z444" s="95"/>
      <c r="AA444" s="95"/>
      <c r="AB444" s="95"/>
      <c r="AC444" s="95"/>
      <c r="AD444" s="95"/>
      <c r="AE444" s="95"/>
      <c r="AF444" s="95"/>
      <c r="AG444" s="273">
        <v>0</v>
      </c>
      <c r="AH444" s="274"/>
      <c r="AI444" s="274"/>
      <c r="AJ444" s="274"/>
      <c r="AK444" s="274"/>
      <c r="AL444" s="275"/>
      <c r="AO444" s="159"/>
      <c r="AP444" s="157">
        <f t="shared" si="90"/>
        <v>0</v>
      </c>
      <c r="AQ444" s="156"/>
      <c r="AR444" s="160"/>
      <c r="AS444" s="160"/>
      <c r="AT444" s="8"/>
      <c r="AW444" s="8"/>
    </row>
    <row r="445" spans="1:54" s="109" customFormat="1" ht="11.25" x14ac:dyDescent="0.2">
      <c r="A445" s="284"/>
      <c r="B445" s="311"/>
      <c r="C445" s="37">
        <v>38</v>
      </c>
      <c r="D445" s="95" t="s">
        <v>283</v>
      </c>
      <c r="E445" s="95"/>
      <c r="F445" s="95"/>
      <c r="G445" s="95"/>
      <c r="H445" s="95"/>
      <c r="I445" s="95"/>
      <c r="J445" s="95"/>
      <c r="K445" s="95"/>
      <c r="L445" s="95"/>
      <c r="M445" s="95"/>
      <c r="N445" s="95"/>
      <c r="O445" s="95"/>
      <c r="P445" s="95"/>
      <c r="Q445" s="95"/>
      <c r="R445" s="95"/>
      <c r="S445" s="95"/>
      <c r="T445" s="95"/>
      <c r="U445" s="95"/>
      <c r="V445" s="95"/>
      <c r="W445" s="95"/>
      <c r="X445" s="95"/>
      <c r="Y445" s="95"/>
      <c r="Z445" s="95"/>
      <c r="AA445" s="95"/>
      <c r="AB445" s="95"/>
      <c r="AC445" s="95"/>
      <c r="AD445" s="95"/>
      <c r="AE445" s="95"/>
      <c r="AF445" s="95"/>
      <c r="AG445" s="273">
        <v>0</v>
      </c>
      <c r="AH445" s="274"/>
      <c r="AI445" s="274"/>
      <c r="AJ445" s="274"/>
      <c r="AK445" s="274"/>
      <c r="AL445" s="275"/>
      <c r="AO445" s="159"/>
      <c r="AP445" s="157">
        <f t="shared" si="90"/>
        <v>0</v>
      </c>
      <c r="AQ445" s="156"/>
      <c r="AR445" s="160"/>
      <c r="AS445" s="160"/>
      <c r="AT445" s="8"/>
      <c r="AW445" s="8"/>
    </row>
    <row r="446" spans="1:54" s="109" customFormat="1" ht="11.25" x14ac:dyDescent="0.2">
      <c r="A446" s="284"/>
      <c r="B446" s="311"/>
      <c r="C446" s="37">
        <v>39</v>
      </c>
      <c r="D446" s="95" t="s">
        <v>284</v>
      </c>
      <c r="E446" s="95"/>
      <c r="F446" s="95"/>
      <c r="G446" s="95"/>
      <c r="H446" s="95"/>
      <c r="I446" s="95"/>
      <c r="J446" s="95"/>
      <c r="K446" s="95"/>
      <c r="L446" s="95"/>
      <c r="M446" s="95"/>
      <c r="N446" s="95"/>
      <c r="O446" s="95"/>
      <c r="P446" s="95"/>
      <c r="Q446" s="95"/>
      <c r="R446" s="95"/>
      <c r="S446" s="95"/>
      <c r="T446" s="95"/>
      <c r="U446" s="95"/>
      <c r="V446" s="95"/>
      <c r="W446" s="95"/>
      <c r="X446" s="95"/>
      <c r="Y446" s="95"/>
      <c r="Z446" s="95"/>
      <c r="AA446" s="95"/>
      <c r="AB446" s="95"/>
      <c r="AC446" s="95"/>
      <c r="AD446" s="95"/>
      <c r="AE446" s="95"/>
      <c r="AF446" s="95"/>
      <c r="AG446" s="273">
        <v>0</v>
      </c>
      <c r="AH446" s="274"/>
      <c r="AI446" s="274"/>
      <c r="AJ446" s="274"/>
      <c r="AK446" s="274"/>
      <c r="AL446" s="275"/>
      <c r="AO446" s="159"/>
      <c r="AP446" s="157">
        <f t="shared" si="90"/>
        <v>0</v>
      </c>
      <c r="AQ446" s="156"/>
      <c r="AR446" s="160"/>
      <c r="AS446" s="160"/>
      <c r="AT446" s="8"/>
      <c r="AW446" s="8"/>
    </row>
    <row r="447" spans="1:54" s="109" customFormat="1" ht="11.25" x14ac:dyDescent="0.2">
      <c r="A447" s="284"/>
      <c r="B447" s="311"/>
      <c r="C447" s="37">
        <v>40</v>
      </c>
      <c r="D447" s="95" t="s">
        <v>285</v>
      </c>
      <c r="E447" s="95"/>
      <c r="F447" s="95"/>
      <c r="G447" s="95"/>
      <c r="H447" s="95"/>
      <c r="I447" s="95"/>
      <c r="J447" s="95"/>
      <c r="K447" s="95"/>
      <c r="L447" s="95"/>
      <c r="M447" s="95"/>
      <c r="N447" s="95"/>
      <c r="O447" s="95"/>
      <c r="P447" s="95"/>
      <c r="Q447" s="95"/>
      <c r="R447" s="95"/>
      <c r="S447" s="95"/>
      <c r="T447" s="95"/>
      <c r="U447" s="95"/>
      <c r="V447" s="95"/>
      <c r="W447" s="95"/>
      <c r="X447" s="95"/>
      <c r="Y447" s="95"/>
      <c r="Z447" s="95"/>
      <c r="AA447" s="95"/>
      <c r="AB447" s="95"/>
      <c r="AC447" s="95"/>
      <c r="AD447" s="95"/>
      <c r="AE447" s="95"/>
      <c r="AF447" s="95"/>
      <c r="AG447" s="273">
        <v>0</v>
      </c>
      <c r="AH447" s="274"/>
      <c r="AI447" s="274"/>
      <c r="AJ447" s="274"/>
      <c r="AK447" s="274"/>
      <c r="AL447" s="275"/>
      <c r="AO447" s="159"/>
      <c r="AP447" s="157">
        <f t="shared" si="90"/>
        <v>0</v>
      </c>
      <c r="AQ447" s="156"/>
      <c r="AR447" s="160"/>
      <c r="AS447" s="160"/>
      <c r="AT447" s="8"/>
      <c r="AW447" s="8"/>
    </row>
    <row r="448" spans="1:54" s="109" customFormat="1" ht="11.25" x14ac:dyDescent="0.2">
      <c r="A448" s="284"/>
      <c r="B448" s="312"/>
      <c r="C448" s="37">
        <v>41</v>
      </c>
      <c r="D448" s="95" t="s">
        <v>286</v>
      </c>
      <c r="E448" s="95"/>
      <c r="F448" s="95"/>
      <c r="G448" s="95"/>
      <c r="H448" s="95"/>
      <c r="I448" s="95"/>
      <c r="J448" s="95"/>
      <c r="K448" s="95"/>
      <c r="L448" s="95"/>
      <c r="M448" s="95"/>
      <c r="N448" s="95"/>
      <c r="O448" s="95"/>
      <c r="P448" s="95"/>
      <c r="Q448" s="95"/>
      <c r="R448" s="95"/>
      <c r="S448" s="95"/>
      <c r="T448" s="95"/>
      <c r="U448" s="95"/>
      <c r="V448" s="95"/>
      <c r="W448" s="95"/>
      <c r="X448" s="95"/>
      <c r="Y448" s="95"/>
      <c r="Z448" s="95"/>
      <c r="AA448" s="95"/>
      <c r="AB448" s="95"/>
      <c r="AC448" s="95"/>
      <c r="AD448" s="95"/>
      <c r="AE448" s="95"/>
      <c r="AF448" s="95"/>
      <c r="AG448" s="273">
        <v>0</v>
      </c>
      <c r="AH448" s="274"/>
      <c r="AI448" s="274"/>
      <c r="AJ448" s="274"/>
      <c r="AK448" s="274"/>
      <c r="AL448" s="275"/>
      <c r="AO448" s="159"/>
      <c r="AP448" s="157">
        <f t="shared" si="90"/>
        <v>0</v>
      </c>
      <c r="AQ448" s="156"/>
      <c r="AR448" s="160"/>
      <c r="AS448" s="160"/>
      <c r="AT448" s="8"/>
      <c r="AU448" s="53" t="s">
        <v>365</v>
      </c>
      <c r="AW448" s="8"/>
      <c r="BA448" s="52" t="s">
        <v>511</v>
      </c>
      <c r="BB448" s="52">
        <f>$AQ$23</f>
        <v>0</v>
      </c>
    </row>
    <row r="449" spans="1:54" ht="12.75" x14ac:dyDescent="0.2">
      <c r="B449" s="258" t="str">
        <f>IF(BB449=1,"Error. If this is a semi-annual report, this section should be blank.",IF(NOT(AND(A41="Looking good! Proceed to Part 1.",A121="",A153="Looking good! Proceed to Part 2.",A201="Looking good! Proceed to Part 3.",A240="",A270="Looking good! Proceed to Part 4.",A305="Looking good! Proceed to Part 5: TBRA Outcomes.",B355="Looking good! Proceed to Part 5: STRMU Outcomes.",B402="Looking good! Proceed to Part 5: FBHA Outcomes.")),"",IF(BB448=1,"",IF(AX404=1,"You've entered outcome data, but your coversheet indicates that you did not undertake this activity. Please resolve this discrepancy.",IF(SUM(AW404:AW448)&gt;0,"Error. You've indicated this is not applicable, but you've entered outcome data. Please resolve this discrepancy.",IF(SUM(AT404:AT448)&gt;0,CONCATENATE("Error. Number of households cannot exceed ",AN404,"."),IF(AND(AM404=1,AN404&lt;&gt;AQ404),CONCATENATE("Enter the number of households by income level. Total must equal ",AN404,". You've entered ",AQ404,"."),IF(AND(AM404=1,AN404&lt;&gt;AQ408),CONCATENATE("Enter the number of households by longevity. Total must equal ",AN404,". You've entered ",AQ408,"."),IF(AND(AM404=1,MIN(AO414:AO426)=0),"Select whether each source of income is applicable.",IF(SUM(AZ414:AZ425)&gt;0,CONCATENATE("Error. If ",AG426," out of ",AN404," households had no income, then the number of households for each other income category cannot exceed ",AN414,"."),IF(AU426=1,"If no households accessed and/or maintained any sources of income, please select ""yes"".",IF(AV426=1,CONCATENATE("If no households accessed and/or maintained any sources of income, then the total number of households that had no income should equal ",AN404,"."),IF(AND(AM404=1,SUM(AS414:AS426)&gt;0),"Enter the number of households that accessed and/or maintained these sources of income.",IF(AND(AN404&lt;&gt;AN414,BA414&gt;0),CONCATENATE("Error. If ",AG426," out of ",AN404," households had no income, then the total number of households for all other income categories cannot be less than ",AN414," at minimum."),IF(AND(AN404=AN414,BA414&gt;0),CONCATENATE("Error. The total number of households for these income categories cannot be less than ",AN414," at minimum."),IF(AND(AM404=1,MIN(AO428:AO433)=0),"Select whether each source of medical insurance and/or assistance is applicable.",IF(AND(AM404=1,SUM(AS428:AS433)&gt;0),"Enter the number of households that accessed and/or maintained these sources of medical insurance and/or assistance.",IF(AND(AM404=1,AN404&lt;&gt;AQ435),CONCATENATE("Enter the number of households by household status. Total must equal ",AN404,". You've entered ",AQ435,"."),"Looking good! Proceed to Part 5: PHP Outcomes."))))))))))))))))))</f>
        <v/>
      </c>
      <c r="C449" s="258"/>
      <c r="D449" s="258"/>
      <c r="E449" s="258"/>
      <c r="F449" s="258"/>
      <c r="G449" s="258"/>
      <c r="H449" s="258"/>
      <c r="I449" s="258"/>
      <c r="J449" s="258"/>
      <c r="K449" s="258"/>
      <c r="L449" s="258"/>
      <c r="M449" s="258"/>
      <c r="N449" s="258"/>
      <c r="O449" s="258"/>
      <c r="P449" s="258"/>
      <c r="Q449" s="258"/>
      <c r="R449" s="258"/>
      <c r="S449" s="258"/>
      <c r="T449" s="258"/>
      <c r="U449" s="258"/>
      <c r="V449" s="258"/>
      <c r="W449" s="258"/>
      <c r="X449" s="258"/>
      <c r="Y449" s="258"/>
      <c r="Z449" s="258"/>
      <c r="AA449" s="258"/>
      <c r="AB449" s="258"/>
      <c r="AC449" s="258"/>
      <c r="AD449" s="258"/>
      <c r="AE449" s="258"/>
      <c r="AF449" s="258"/>
      <c r="AG449" s="258"/>
      <c r="AH449" s="258"/>
      <c r="AI449" s="258"/>
      <c r="AJ449" s="258"/>
      <c r="AK449" s="258"/>
      <c r="AL449" s="258"/>
      <c r="AU449" s="212">
        <f>IF(BB448=1,1,IF(AM404=0,1,IF(AND(AM404=1,B449="Looking good! Proceed to Part 5: PHP Outcomes.",SUM(AO404:AP448)&gt;0,SUM(AR404:AS448)=0,SUM(AT404:BA433)=0),1,0)))</f>
        <v>1</v>
      </c>
      <c r="BA449" s="1" t="s">
        <v>513</v>
      </c>
      <c r="BB449" s="163">
        <f>IF(AND($AV$23=1,(SUM(AO404:AP448))&gt;0),1,0)</f>
        <v>0</v>
      </c>
    </row>
    <row r="450" spans="1:54" s="109" customFormat="1" ht="11.25" customHeight="1" x14ac:dyDescent="0.2">
      <c r="A450" s="284" t="s">
        <v>409</v>
      </c>
      <c r="B450" s="405" t="str">
        <f>IF(AA168&gt;0,CONCATENATE("PHP Household Output: ",AA168),"PHP Household Output: 0")</f>
        <v>PHP Household Output: 0</v>
      </c>
      <c r="C450" s="101" t="s">
        <v>90</v>
      </c>
      <c r="D450" s="128"/>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270" t="s">
        <v>375</v>
      </c>
      <c r="AE450" s="271"/>
      <c r="AF450" s="272"/>
      <c r="AG450" s="128"/>
      <c r="AH450" s="128"/>
      <c r="AI450" s="128"/>
      <c r="AJ450" s="128"/>
      <c r="AK450" s="128"/>
      <c r="AL450" s="129"/>
      <c r="AM450" s="4" t="s">
        <v>375</v>
      </c>
      <c r="AN450" s="8" t="s">
        <v>401</v>
      </c>
      <c r="AP450" s="109" t="s">
        <v>366</v>
      </c>
      <c r="AQ450" s="109" t="s">
        <v>93</v>
      </c>
      <c r="AS450" s="8" t="s">
        <v>363</v>
      </c>
      <c r="AT450" s="109" t="s">
        <v>405</v>
      </c>
      <c r="AU450" s="109" t="s">
        <v>407</v>
      </c>
      <c r="AV450" s="109" t="s">
        <v>408</v>
      </c>
      <c r="AW450" s="109" t="s">
        <v>410</v>
      </c>
      <c r="AX450" s="109" t="s">
        <v>411</v>
      </c>
      <c r="AZ450" s="109" t="s">
        <v>415</v>
      </c>
      <c r="BA450" s="109" t="s">
        <v>416</v>
      </c>
      <c r="BB450" s="109" t="s">
        <v>375</v>
      </c>
    </row>
    <row r="451" spans="1:54" s="109" customFormat="1" ht="11.25" x14ac:dyDescent="0.2">
      <c r="A451" s="284"/>
      <c r="B451" s="406"/>
      <c r="C451" s="37">
        <v>1</v>
      </c>
      <c r="D451" s="95" t="s">
        <v>238</v>
      </c>
      <c r="E451" s="95"/>
      <c r="F451" s="95"/>
      <c r="G451" s="95"/>
      <c r="H451" s="95"/>
      <c r="I451" s="95"/>
      <c r="J451" s="95"/>
      <c r="K451" s="95"/>
      <c r="L451" s="95"/>
      <c r="M451" s="95"/>
      <c r="N451" s="95"/>
      <c r="O451" s="95"/>
      <c r="P451" s="95"/>
      <c r="Q451" s="95"/>
      <c r="R451" s="95"/>
      <c r="S451" s="95"/>
      <c r="T451" s="95"/>
      <c r="U451" s="95"/>
      <c r="V451" s="95"/>
      <c r="W451" s="95"/>
      <c r="X451" s="95"/>
      <c r="Y451" s="95"/>
      <c r="Z451" s="95"/>
      <c r="AA451" s="95"/>
      <c r="AB451" s="95"/>
      <c r="AC451" s="95"/>
      <c r="AD451" s="267"/>
      <c r="AE451" s="268"/>
      <c r="AF451" s="269"/>
      <c r="AG451" s="273">
        <v>0</v>
      </c>
      <c r="AH451" s="274"/>
      <c r="AI451" s="274"/>
      <c r="AJ451" s="274"/>
      <c r="AK451" s="274"/>
      <c r="AL451" s="275"/>
      <c r="AM451" s="143">
        <f>AQ29</f>
        <v>0</v>
      </c>
      <c r="AN451" s="8">
        <f>IF(AM451=1,AA168,0)</f>
        <v>0</v>
      </c>
      <c r="AO451" s="157">
        <f t="shared" ref="AO451:AO463" si="91">IF(AD451=0,0,1)</f>
        <v>0</v>
      </c>
      <c r="AP451" s="157">
        <f t="shared" ref="AP451:AP463" si="92">IF(AG451=0,0,1)</f>
        <v>0</v>
      </c>
      <c r="AQ451" s="156"/>
      <c r="AR451" s="160">
        <f>IF(AND(SUM(AO451:AP451)&gt;0,AO451=0),1,0)</f>
        <v>0</v>
      </c>
      <c r="AS451" s="160">
        <f t="shared" ref="AS451:AS463" si="93">IF(AND(SUM(AO451:AP451)&gt;0,AP451=0,AD451="Yes"),1,0)</f>
        <v>0</v>
      </c>
      <c r="AT451" s="8">
        <f>IF(AG451&gt;$AN$451,1,0)</f>
        <v>0</v>
      </c>
      <c r="AW451" s="8">
        <f t="shared" ref="AW451:AW460" si="94">IF(AND(AD451="No",AP451&gt;0),1,0)</f>
        <v>0</v>
      </c>
      <c r="AX451" s="8">
        <f>IF(AND(AM451=0,SUM(AO451:AP474)&gt;0),1,0)</f>
        <v>0</v>
      </c>
      <c r="AZ451" s="8">
        <f t="shared" ref="AZ451:AZ462" si="95">IF(AG451&gt;$AN$455,1,0)</f>
        <v>0</v>
      </c>
      <c r="BA451" s="8">
        <f>IF(SUM(AG451:AL462)&lt;AN455,1,0)</f>
        <v>0</v>
      </c>
      <c r="BB451" s="8">
        <f t="shared" ref="BB451:BB463" si="96">IF(AD451="Yes",1,0)</f>
        <v>0</v>
      </c>
    </row>
    <row r="452" spans="1:54" s="109" customFormat="1" ht="11.25" x14ac:dyDescent="0.2">
      <c r="A452" s="284"/>
      <c r="B452" s="406"/>
      <c r="C452" s="37">
        <v>2</v>
      </c>
      <c r="D452" s="95" t="s">
        <v>239</v>
      </c>
      <c r="E452" s="95"/>
      <c r="F452" s="95"/>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267"/>
      <c r="AE452" s="268"/>
      <c r="AF452" s="269"/>
      <c r="AG452" s="273">
        <v>0</v>
      </c>
      <c r="AH452" s="274"/>
      <c r="AI452" s="274"/>
      <c r="AJ452" s="274"/>
      <c r="AK452" s="274"/>
      <c r="AL452" s="275"/>
      <c r="AN452" s="8" t="s">
        <v>421</v>
      </c>
      <c r="AO452" s="157">
        <f t="shared" si="91"/>
        <v>0</v>
      </c>
      <c r="AP452" s="157">
        <f t="shared" si="92"/>
        <v>0</v>
      </c>
      <c r="AQ452" s="156"/>
      <c r="AR452" s="160">
        <f t="shared" ref="AR452:AR463" si="97">IF(AND(SUM(AO452:AP452)&gt;0,AO452=0),1,0)</f>
        <v>0</v>
      </c>
      <c r="AS452" s="160">
        <f t="shared" si="93"/>
        <v>0</v>
      </c>
      <c r="AT452" s="8">
        <f t="shared" ref="AT452:AT463" si="98">IF(AG452&gt;$AN$451,1,0)</f>
        <v>0</v>
      </c>
      <c r="AW452" s="8">
        <f t="shared" si="94"/>
        <v>0</v>
      </c>
      <c r="AZ452" s="8">
        <f t="shared" si="95"/>
        <v>0</v>
      </c>
      <c r="BB452" s="8">
        <f t="shared" si="96"/>
        <v>0</v>
      </c>
    </row>
    <row r="453" spans="1:54" s="109" customFormat="1" ht="11.25" x14ac:dyDescent="0.2">
      <c r="A453" s="284"/>
      <c r="B453" s="406"/>
      <c r="C453" s="37">
        <v>3</v>
      </c>
      <c r="D453" s="95" t="s">
        <v>240</v>
      </c>
      <c r="E453" s="95"/>
      <c r="F453" s="95"/>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267"/>
      <c r="AE453" s="268"/>
      <c r="AF453" s="269"/>
      <c r="AG453" s="273">
        <v>0</v>
      </c>
      <c r="AH453" s="274"/>
      <c r="AI453" s="274"/>
      <c r="AJ453" s="274"/>
      <c r="AK453" s="274"/>
      <c r="AL453" s="275"/>
      <c r="AN453" s="8">
        <f>AG463</f>
        <v>0</v>
      </c>
      <c r="AO453" s="157">
        <f t="shared" si="91"/>
        <v>0</v>
      </c>
      <c r="AP453" s="157">
        <f t="shared" si="92"/>
        <v>0</v>
      </c>
      <c r="AQ453" s="156"/>
      <c r="AR453" s="160">
        <f t="shared" si="97"/>
        <v>0</v>
      </c>
      <c r="AS453" s="160">
        <f t="shared" si="93"/>
        <v>0</v>
      </c>
      <c r="AT453" s="8">
        <f t="shared" si="98"/>
        <v>0</v>
      </c>
      <c r="AW453" s="8">
        <f t="shared" si="94"/>
        <v>0</v>
      </c>
      <c r="AZ453" s="8">
        <f t="shared" si="95"/>
        <v>0</v>
      </c>
      <c r="BB453" s="8">
        <f t="shared" si="96"/>
        <v>0</v>
      </c>
    </row>
    <row r="454" spans="1:54" s="109" customFormat="1" ht="11.25" x14ac:dyDescent="0.2">
      <c r="A454" s="284"/>
      <c r="B454" s="406"/>
      <c r="C454" s="37">
        <v>4</v>
      </c>
      <c r="D454" s="95" t="s">
        <v>241</v>
      </c>
      <c r="E454" s="95"/>
      <c r="F454" s="95"/>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267"/>
      <c r="AE454" s="268"/>
      <c r="AF454" s="269"/>
      <c r="AG454" s="273">
        <v>0</v>
      </c>
      <c r="AH454" s="274"/>
      <c r="AI454" s="274"/>
      <c r="AJ454" s="274"/>
      <c r="AK454" s="274"/>
      <c r="AL454" s="275"/>
      <c r="AN454" s="8" t="s">
        <v>414</v>
      </c>
      <c r="AO454" s="157">
        <f t="shared" si="91"/>
        <v>0</v>
      </c>
      <c r="AP454" s="157">
        <f t="shared" si="92"/>
        <v>0</v>
      </c>
      <c r="AQ454" s="156"/>
      <c r="AR454" s="160">
        <f t="shared" si="97"/>
        <v>0</v>
      </c>
      <c r="AS454" s="160">
        <f t="shared" si="93"/>
        <v>0</v>
      </c>
      <c r="AT454" s="8">
        <f t="shared" si="98"/>
        <v>0</v>
      </c>
      <c r="AW454" s="8">
        <f t="shared" si="94"/>
        <v>0</v>
      </c>
      <c r="AZ454" s="8">
        <f t="shared" si="95"/>
        <v>0</v>
      </c>
      <c r="BB454" s="8">
        <f t="shared" si="96"/>
        <v>0</v>
      </c>
    </row>
    <row r="455" spans="1:54" s="109" customFormat="1" ht="11.25" x14ac:dyDescent="0.2">
      <c r="A455" s="284"/>
      <c r="B455" s="406"/>
      <c r="C455" s="37">
        <v>5</v>
      </c>
      <c r="D455" s="95" t="s">
        <v>402</v>
      </c>
      <c r="E455" s="95"/>
      <c r="F455" s="95"/>
      <c r="G455" s="95"/>
      <c r="H455" s="95"/>
      <c r="I455" s="95"/>
      <c r="J455" s="95"/>
      <c r="K455" s="95"/>
      <c r="L455" s="95"/>
      <c r="M455" s="95"/>
      <c r="N455" s="95"/>
      <c r="O455" s="95"/>
      <c r="P455" s="95"/>
      <c r="Q455" s="95"/>
      <c r="R455" s="95"/>
      <c r="S455" s="95"/>
      <c r="T455" s="95"/>
      <c r="U455" s="95"/>
      <c r="V455" s="95"/>
      <c r="W455" s="95"/>
      <c r="X455" s="95"/>
      <c r="Y455" s="95"/>
      <c r="Z455" s="95"/>
      <c r="AA455" s="95"/>
      <c r="AB455" s="95"/>
      <c r="AC455" s="95"/>
      <c r="AD455" s="267"/>
      <c r="AE455" s="268"/>
      <c r="AF455" s="269"/>
      <c r="AG455" s="273">
        <v>0</v>
      </c>
      <c r="AH455" s="274"/>
      <c r="AI455" s="274"/>
      <c r="AJ455" s="274"/>
      <c r="AK455" s="274"/>
      <c r="AL455" s="275"/>
      <c r="AN455" s="8">
        <f>AN451-AG463</f>
        <v>0</v>
      </c>
      <c r="AO455" s="157">
        <f t="shared" si="91"/>
        <v>0</v>
      </c>
      <c r="AP455" s="157">
        <f t="shared" si="92"/>
        <v>0</v>
      </c>
      <c r="AQ455" s="156"/>
      <c r="AR455" s="160">
        <f t="shared" si="97"/>
        <v>0</v>
      </c>
      <c r="AS455" s="160">
        <f t="shared" si="93"/>
        <v>0</v>
      </c>
      <c r="AT455" s="8">
        <f t="shared" si="98"/>
        <v>0</v>
      </c>
      <c r="AW455" s="8">
        <f t="shared" si="94"/>
        <v>0</v>
      </c>
      <c r="AZ455" s="8">
        <f t="shared" si="95"/>
        <v>0</v>
      </c>
      <c r="BB455" s="8">
        <f t="shared" si="96"/>
        <v>0</v>
      </c>
    </row>
    <row r="456" spans="1:54" s="109" customFormat="1" ht="11.25" x14ac:dyDescent="0.2">
      <c r="A456" s="284"/>
      <c r="B456" s="406"/>
      <c r="C456" s="37">
        <v>6</v>
      </c>
      <c r="D456" s="95" t="s">
        <v>403</v>
      </c>
      <c r="E456" s="95"/>
      <c r="F456" s="95"/>
      <c r="G456" s="95"/>
      <c r="H456" s="95"/>
      <c r="I456" s="95"/>
      <c r="J456" s="95"/>
      <c r="K456" s="95"/>
      <c r="L456" s="95"/>
      <c r="M456" s="95"/>
      <c r="N456" s="95"/>
      <c r="O456" s="95"/>
      <c r="P456" s="95"/>
      <c r="Q456" s="95"/>
      <c r="R456" s="95"/>
      <c r="S456" s="95"/>
      <c r="T456" s="95"/>
      <c r="U456" s="95"/>
      <c r="V456" s="95"/>
      <c r="W456" s="95"/>
      <c r="X456" s="95"/>
      <c r="Y456" s="95"/>
      <c r="Z456" s="95"/>
      <c r="AA456" s="95"/>
      <c r="AB456" s="95"/>
      <c r="AC456" s="95"/>
      <c r="AD456" s="267"/>
      <c r="AE456" s="268"/>
      <c r="AF456" s="269"/>
      <c r="AG456" s="273">
        <v>0</v>
      </c>
      <c r="AH456" s="274"/>
      <c r="AI456" s="274"/>
      <c r="AJ456" s="274"/>
      <c r="AK456" s="274"/>
      <c r="AL456" s="275"/>
      <c r="AO456" s="157">
        <f t="shared" si="91"/>
        <v>0</v>
      </c>
      <c r="AP456" s="157">
        <f t="shared" si="92"/>
        <v>0</v>
      </c>
      <c r="AQ456" s="156"/>
      <c r="AR456" s="160">
        <f t="shared" si="97"/>
        <v>0</v>
      </c>
      <c r="AS456" s="160">
        <f t="shared" si="93"/>
        <v>0</v>
      </c>
      <c r="AT456" s="8">
        <f t="shared" si="98"/>
        <v>0</v>
      </c>
      <c r="AW456" s="8">
        <f t="shared" si="94"/>
        <v>0</v>
      </c>
      <c r="AZ456" s="8">
        <f t="shared" si="95"/>
        <v>0</v>
      </c>
      <c r="BB456" s="8">
        <f t="shared" si="96"/>
        <v>0</v>
      </c>
    </row>
    <row r="457" spans="1:54" s="109" customFormat="1" ht="11.25" x14ac:dyDescent="0.2">
      <c r="A457" s="284"/>
      <c r="B457" s="406"/>
      <c r="C457" s="37">
        <v>7</v>
      </c>
      <c r="D457" s="95" t="s">
        <v>404</v>
      </c>
      <c r="E457" s="95"/>
      <c r="F457" s="95"/>
      <c r="G457" s="95"/>
      <c r="H457" s="95"/>
      <c r="I457" s="95"/>
      <c r="J457" s="95"/>
      <c r="K457" s="95"/>
      <c r="L457" s="95"/>
      <c r="M457" s="95"/>
      <c r="N457" s="95"/>
      <c r="O457" s="95"/>
      <c r="P457" s="95"/>
      <c r="Q457" s="95"/>
      <c r="R457" s="95"/>
      <c r="S457" s="95"/>
      <c r="T457" s="95"/>
      <c r="U457" s="95"/>
      <c r="V457" s="95"/>
      <c r="W457" s="95"/>
      <c r="X457" s="95"/>
      <c r="Y457" s="95"/>
      <c r="Z457" s="95"/>
      <c r="AA457" s="95"/>
      <c r="AB457" s="95"/>
      <c r="AC457" s="95"/>
      <c r="AD457" s="267"/>
      <c r="AE457" s="268"/>
      <c r="AF457" s="269"/>
      <c r="AG457" s="273">
        <v>0</v>
      </c>
      <c r="AH457" s="274"/>
      <c r="AI457" s="274"/>
      <c r="AJ457" s="274"/>
      <c r="AK457" s="274"/>
      <c r="AL457" s="275"/>
      <c r="AO457" s="157">
        <f t="shared" si="91"/>
        <v>0</v>
      </c>
      <c r="AP457" s="157">
        <f t="shared" si="92"/>
        <v>0</v>
      </c>
      <c r="AQ457" s="156"/>
      <c r="AR457" s="160">
        <f t="shared" si="97"/>
        <v>0</v>
      </c>
      <c r="AS457" s="160">
        <f t="shared" si="93"/>
        <v>0</v>
      </c>
      <c r="AT457" s="8">
        <f t="shared" si="98"/>
        <v>0</v>
      </c>
      <c r="AW457" s="8">
        <f t="shared" si="94"/>
        <v>0</v>
      </c>
      <c r="AZ457" s="8">
        <f t="shared" si="95"/>
        <v>0</v>
      </c>
      <c r="BB457" s="8">
        <f t="shared" si="96"/>
        <v>0</v>
      </c>
    </row>
    <row r="458" spans="1:54" s="109" customFormat="1" ht="11.25" x14ac:dyDescent="0.2">
      <c r="A458" s="284"/>
      <c r="B458" s="406"/>
      <c r="C458" s="37">
        <v>8</v>
      </c>
      <c r="D458" s="95" t="s">
        <v>242</v>
      </c>
      <c r="E458" s="95"/>
      <c r="F458" s="95"/>
      <c r="G458" s="95"/>
      <c r="H458" s="95"/>
      <c r="I458" s="95"/>
      <c r="J458" s="95"/>
      <c r="K458" s="95"/>
      <c r="L458" s="95"/>
      <c r="M458" s="95"/>
      <c r="N458" s="95"/>
      <c r="O458" s="95"/>
      <c r="P458" s="95"/>
      <c r="Q458" s="95"/>
      <c r="R458" s="95"/>
      <c r="S458" s="95"/>
      <c r="T458" s="95"/>
      <c r="U458" s="95"/>
      <c r="V458" s="95"/>
      <c r="W458" s="95"/>
      <c r="X458" s="95"/>
      <c r="Y458" s="95"/>
      <c r="Z458" s="95"/>
      <c r="AA458" s="95"/>
      <c r="AB458" s="95"/>
      <c r="AC458" s="95"/>
      <c r="AD458" s="267"/>
      <c r="AE458" s="268"/>
      <c r="AF458" s="269"/>
      <c r="AG458" s="273">
        <v>0</v>
      </c>
      <c r="AH458" s="274"/>
      <c r="AI458" s="274"/>
      <c r="AJ458" s="274"/>
      <c r="AK458" s="274"/>
      <c r="AL458" s="275"/>
      <c r="AO458" s="157">
        <f t="shared" si="91"/>
        <v>0</v>
      </c>
      <c r="AP458" s="157">
        <f t="shared" si="92"/>
        <v>0</v>
      </c>
      <c r="AQ458" s="156"/>
      <c r="AR458" s="160">
        <f t="shared" si="97"/>
        <v>0</v>
      </c>
      <c r="AS458" s="160">
        <f t="shared" si="93"/>
        <v>0</v>
      </c>
      <c r="AT458" s="8">
        <f t="shared" si="98"/>
        <v>0</v>
      </c>
      <c r="AW458" s="8">
        <f t="shared" si="94"/>
        <v>0</v>
      </c>
      <c r="AZ458" s="8">
        <f t="shared" si="95"/>
        <v>0</v>
      </c>
      <c r="BB458" s="8">
        <f t="shared" si="96"/>
        <v>0</v>
      </c>
    </row>
    <row r="459" spans="1:54" s="109" customFormat="1" ht="11.25" x14ac:dyDescent="0.2">
      <c r="A459" s="284"/>
      <c r="B459" s="406"/>
      <c r="C459" s="37">
        <v>9</v>
      </c>
      <c r="D459" s="95" t="s">
        <v>251</v>
      </c>
      <c r="E459" s="95"/>
      <c r="F459" s="95"/>
      <c r="G459" s="95"/>
      <c r="H459" s="95"/>
      <c r="I459" s="95"/>
      <c r="J459" s="95"/>
      <c r="K459" s="95"/>
      <c r="L459" s="95"/>
      <c r="M459" s="95"/>
      <c r="N459" s="95"/>
      <c r="O459" s="95"/>
      <c r="P459" s="95"/>
      <c r="Q459" s="95"/>
      <c r="R459" s="95"/>
      <c r="S459" s="95"/>
      <c r="T459" s="95"/>
      <c r="U459" s="95"/>
      <c r="V459" s="95"/>
      <c r="W459" s="95"/>
      <c r="X459" s="95"/>
      <c r="Y459" s="95"/>
      <c r="Z459" s="95"/>
      <c r="AA459" s="95"/>
      <c r="AB459" s="95"/>
      <c r="AC459" s="95"/>
      <c r="AD459" s="267"/>
      <c r="AE459" s="268"/>
      <c r="AF459" s="269"/>
      <c r="AG459" s="273">
        <v>0</v>
      </c>
      <c r="AH459" s="274"/>
      <c r="AI459" s="274"/>
      <c r="AJ459" s="274"/>
      <c r="AK459" s="274"/>
      <c r="AL459" s="275"/>
      <c r="AO459" s="157">
        <f t="shared" si="91"/>
        <v>0</v>
      </c>
      <c r="AP459" s="157">
        <f t="shared" si="92"/>
        <v>0</v>
      </c>
      <c r="AQ459" s="156"/>
      <c r="AR459" s="160">
        <f t="shared" si="97"/>
        <v>0</v>
      </c>
      <c r="AS459" s="160">
        <f t="shared" si="93"/>
        <v>0</v>
      </c>
      <c r="AT459" s="8">
        <f t="shared" si="98"/>
        <v>0</v>
      </c>
      <c r="AW459" s="8">
        <f t="shared" si="94"/>
        <v>0</v>
      </c>
      <c r="AZ459" s="8">
        <f t="shared" si="95"/>
        <v>0</v>
      </c>
      <c r="BB459" s="8">
        <f t="shared" si="96"/>
        <v>0</v>
      </c>
    </row>
    <row r="460" spans="1:54" s="109" customFormat="1" ht="11.25" x14ac:dyDescent="0.2">
      <c r="A460" s="284"/>
      <c r="B460" s="406"/>
      <c r="C460" s="37">
        <v>10</v>
      </c>
      <c r="D460" s="95" t="s">
        <v>252</v>
      </c>
      <c r="E460" s="95"/>
      <c r="F460" s="95"/>
      <c r="G460" s="95"/>
      <c r="H460" s="95"/>
      <c r="I460" s="95"/>
      <c r="J460" s="95"/>
      <c r="K460" s="95"/>
      <c r="L460" s="95"/>
      <c r="M460" s="95"/>
      <c r="N460" s="95"/>
      <c r="O460" s="95"/>
      <c r="P460" s="95"/>
      <c r="Q460" s="95"/>
      <c r="R460" s="95"/>
      <c r="S460" s="95"/>
      <c r="T460" s="95"/>
      <c r="U460" s="95"/>
      <c r="V460" s="95"/>
      <c r="W460" s="95"/>
      <c r="X460" s="95"/>
      <c r="Y460" s="95"/>
      <c r="Z460" s="95"/>
      <c r="AA460" s="95"/>
      <c r="AB460" s="95"/>
      <c r="AC460" s="95"/>
      <c r="AD460" s="267"/>
      <c r="AE460" s="268"/>
      <c r="AF460" s="269"/>
      <c r="AG460" s="273">
        <v>0</v>
      </c>
      <c r="AH460" s="274"/>
      <c r="AI460" s="274"/>
      <c r="AJ460" s="274"/>
      <c r="AK460" s="274"/>
      <c r="AL460" s="275"/>
      <c r="AO460" s="157">
        <f t="shared" si="91"/>
        <v>0</v>
      </c>
      <c r="AP460" s="157">
        <f t="shared" si="92"/>
        <v>0</v>
      </c>
      <c r="AQ460" s="156"/>
      <c r="AR460" s="160">
        <f t="shared" si="97"/>
        <v>0</v>
      </c>
      <c r="AS460" s="160">
        <f t="shared" si="93"/>
        <v>0</v>
      </c>
      <c r="AT460" s="8">
        <f t="shared" si="98"/>
        <v>0</v>
      </c>
      <c r="AW460" s="8">
        <f t="shared" si="94"/>
        <v>0</v>
      </c>
      <c r="AZ460" s="8">
        <f t="shared" si="95"/>
        <v>0</v>
      </c>
      <c r="BB460" s="8">
        <f t="shared" si="96"/>
        <v>0</v>
      </c>
    </row>
    <row r="461" spans="1:54" s="109" customFormat="1" ht="11.25" x14ac:dyDescent="0.2">
      <c r="A461" s="284"/>
      <c r="B461" s="406"/>
      <c r="C461" s="37">
        <v>11</v>
      </c>
      <c r="D461" s="95" t="s">
        <v>253</v>
      </c>
      <c r="E461" s="95"/>
      <c r="F461" s="95"/>
      <c r="G461" s="95"/>
      <c r="H461" s="95"/>
      <c r="I461" s="95"/>
      <c r="J461" s="95"/>
      <c r="K461" s="95"/>
      <c r="L461" s="95"/>
      <c r="M461" s="95"/>
      <c r="N461" s="95"/>
      <c r="O461" s="95"/>
      <c r="P461" s="95"/>
      <c r="Q461" s="95"/>
      <c r="R461" s="95"/>
      <c r="S461" s="95"/>
      <c r="T461" s="95"/>
      <c r="U461" s="95"/>
      <c r="V461" s="95"/>
      <c r="W461" s="95"/>
      <c r="X461" s="95"/>
      <c r="Y461" s="95"/>
      <c r="Z461" s="95"/>
      <c r="AA461" s="95"/>
      <c r="AB461" s="95"/>
      <c r="AC461" s="95"/>
      <c r="AD461" s="267"/>
      <c r="AE461" s="268"/>
      <c r="AF461" s="269"/>
      <c r="AG461" s="273">
        <v>0</v>
      </c>
      <c r="AH461" s="274"/>
      <c r="AI461" s="274"/>
      <c r="AJ461" s="274"/>
      <c r="AK461" s="274"/>
      <c r="AL461" s="275"/>
      <c r="AO461" s="157">
        <f t="shared" si="91"/>
        <v>0</v>
      </c>
      <c r="AP461" s="157">
        <f t="shared" si="92"/>
        <v>0</v>
      </c>
      <c r="AQ461" s="156"/>
      <c r="AR461" s="160">
        <f t="shared" si="97"/>
        <v>0</v>
      </c>
      <c r="AS461" s="160">
        <f t="shared" si="93"/>
        <v>0</v>
      </c>
      <c r="AT461" s="8">
        <f t="shared" si="98"/>
        <v>0</v>
      </c>
      <c r="AW461" s="8">
        <f>IF(AND(AD461="No",AP461&gt;0),1,0)</f>
        <v>0</v>
      </c>
      <c r="AZ461" s="8">
        <f t="shared" si="95"/>
        <v>0</v>
      </c>
      <c r="BB461" s="8">
        <f t="shared" si="96"/>
        <v>0</v>
      </c>
    </row>
    <row r="462" spans="1:54" s="109" customFormat="1" ht="11.25" x14ac:dyDescent="0.2">
      <c r="A462" s="284"/>
      <c r="B462" s="406"/>
      <c r="C462" s="37">
        <v>12</v>
      </c>
      <c r="D462" s="95" t="s">
        <v>270</v>
      </c>
      <c r="E462" s="95"/>
      <c r="F462" s="95"/>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267"/>
      <c r="AE462" s="268"/>
      <c r="AF462" s="269"/>
      <c r="AG462" s="273">
        <v>0</v>
      </c>
      <c r="AH462" s="274"/>
      <c r="AI462" s="274"/>
      <c r="AJ462" s="274"/>
      <c r="AK462" s="274"/>
      <c r="AL462" s="275"/>
      <c r="AO462" s="157">
        <f t="shared" si="91"/>
        <v>0</v>
      </c>
      <c r="AP462" s="157">
        <f t="shared" si="92"/>
        <v>0</v>
      </c>
      <c r="AQ462" s="156"/>
      <c r="AR462" s="160">
        <f t="shared" si="97"/>
        <v>0</v>
      </c>
      <c r="AS462" s="160">
        <f t="shared" si="93"/>
        <v>0</v>
      </c>
      <c r="AT462" s="8">
        <f t="shared" si="98"/>
        <v>0</v>
      </c>
      <c r="AW462" s="8">
        <f t="shared" ref="AW462:AW463" si="99">IF(AND(AD462="No",AP462&gt;0),1,0)</f>
        <v>0</v>
      </c>
      <c r="AZ462" s="8">
        <f t="shared" si="95"/>
        <v>0</v>
      </c>
      <c r="BB462" s="8">
        <f t="shared" si="96"/>
        <v>0</v>
      </c>
    </row>
    <row r="463" spans="1:54" s="109" customFormat="1" ht="11.25" x14ac:dyDescent="0.2">
      <c r="A463" s="284"/>
      <c r="B463" s="406"/>
      <c r="C463" s="37">
        <v>13</v>
      </c>
      <c r="D463" s="95" t="s">
        <v>243</v>
      </c>
      <c r="E463" s="95"/>
      <c r="F463" s="95"/>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267"/>
      <c r="AE463" s="268"/>
      <c r="AF463" s="269"/>
      <c r="AG463" s="273">
        <v>0</v>
      </c>
      <c r="AH463" s="274"/>
      <c r="AI463" s="274"/>
      <c r="AJ463" s="274"/>
      <c r="AK463" s="274"/>
      <c r="AL463" s="275"/>
      <c r="AO463" s="157">
        <f t="shared" si="91"/>
        <v>0</v>
      </c>
      <c r="AP463" s="157">
        <f t="shared" si="92"/>
        <v>0</v>
      </c>
      <c r="AQ463" s="156"/>
      <c r="AR463" s="160">
        <f t="shared" si="97"/>
        <v>0</v>
      </c>
      <c r="AS463" s="160">
        <f t="shared" si="93"/>
        <v>0</v>
      </c>
      <c r="AT463" s="8">
        <f t="shared" si="98"/>
        <v>0</v>
      </c>
      <c r="AU463" s="8">
        <f>IF(AND(AM451=1,SUM(BB451:BB463)=0),1,0)</f>
        <v>0</v>
      </c>
      <c r="AV463" s="8">
        <f>IF(AND(AM451=1,SUM(AO451:AO463)&gt;0,SUM(AP451:AP462)=0,SUM(AR451:AS463)=0,SUM(AT451:AT463)=0,AP463&gt;0,AG463&lt;&gt;AN451),1,0)</f>
        <v>0</v>
      </c>
      <c r="AW463" s="8">
        <f t="shared" si="99"/>
        <v>0</v>
      </c>
      <c r="BB463" s="8">
        <f t="shared" si="96"/>
        <v>0</v>
      </c>
    </row>
    <row r="464" spans="1:54" s="109" customFormat="1" ht="11.25" x14ac:dyDescent="0.2">
      <c r="A464" s="284"/>
      <c r="B464" s="406"/>
      <c r="C464" s="101" t="s">
        <v>244</v>
      </c>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31"/>
      <c r="Z464" s="131"/>
      <c r="AA464" s="131"/>
      <c r="AB464" s="131"/>
      <c r="AC464" s="131"/>
      <c r="AD464" s="270" t="s">
        <v>375</v>
      </c>
      <c r="AE464" s="271"/>
      <c r="AF464" s="272"/>
      <c r="AG464" s="128"/>
      <c r="AH464" s="128"/>
      <c r="AI464" s="128"/>
      <c r="AJ464" s="128"/>
      <c r="AK464" s="128"/>
      <c r="AL464" s="129"/>
      <c r="AN464" s="8" t="s">
        <v>425</v>
      </c>
      <c r="AO464" s="159"/>
      <c r="AP464" s="157"/>
      <c r="AQ464" s="156"/>
      <c r="AR464" s="160"/>
      <c r="AS464" s="160"/>
      <c r="AT464" s="8"/>
      <c r="AW464" s="8"/>
    </row>
    <row r="465" spans="1:54" s="109" customFormat="1" ht="11.25" x14ac:dyDescent="0.2">
      <c r="A465" s="284"/>
      <c r="B465" s="406"/>
      <c r="C465" s="37">
        <v>14</v>
      </c>
      <c r="D465" s="95" t="s">
        <v>245</v>
      </c>
      <c r="E465" s="95"/>
      <c r="F465" s="95"/>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267"/>
      <c r="AE465" s="268"/>
      <c r="AF465" s="269"/>
      <c r="AG465" s="273">
        <v>0</v>
      </c>
      <c r="AH465" s="274"/>
      <c r="AI465" s="274"/>
      <c r="AJ465" s="274"/>
      <c r="AK465" s="274"/>
      <c r="AL465" s="275"/>
      <c r="AN465" s="8">
        <f>MAX(AG465:AL470)</f>
        <v>0</v>
      </c>
      <c r="AO465" s="157">
        <f t="shared" ref="AO465:AO470" si="100">IF(AD465=0,0,1)</f>
        <v>0</v>
      </c>
      <c r="AP465" s="157">
        <f t="shared" ref="AP465:AP470" si="101">IF(AG465=0,0,1)</f>
        <v>0</v>
      </c>
      <c r="AQ465" s="156"/>
      <c r="AR465" s="160">
        <f t="shared" ref="AR465:AR470" si="102">IF(AND(SUM(AO465:AP465)&gt;0,AO465=0),1,0)</f>
        <v>0</v>
      </c>
      <c r="AS465" s="160">
        <f t="shared" ref="AS465:AS470" si="103">IF(AND(SUM(AO465:AP465)&gt;0,AP465=0,AD465="Yes"),1,0)</f>
        <v>0</v>
      </c>
      <c r="AT465" s="8">
        <f t="shared" ref="AT465:AT470" si="104">IF(AG465&gt;$AN$451,1,0)</f>
        <v>0</v>
      </c>
      <c r="AW465" s="8">
        <f t="shared" ref="AW465:AW470" si="105">IF(AND(AD465="No",AP465&gt;0),1,0)</f>
        <v>0</v>
      </c>
    </row>
    <row r="466" spans="1:54" s="109" customFormat="1" ht="11.25" x14ac:dyDescent="0.2">
      <c r="A466" s="284"/>
      <c r="B466" s="406"/>
      <c r="C466" s="37">
        <v>15</v>
      </c>
      <c r="D466" s="95" t="s">
        <v>246</v>
      </c>
      <c r="E466" s="95"/>
      <c r="F466" s="95"/>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267"/>
      <c r="AE466" s="268"/>
      <c r="AF466" s="269"/>
      <c r="AG466" s="273">
        <v>0</v>
      </c>
      <c r="AH466" s="274"/>
      <c r="AI466" s="274"/>
      <c r="AJ466" s="274"/>
      <c r="AK466" s="274"/>
      <c r="AL466" s="275"/>
      <c r="AO466" s="157">
        <f t="shared" si="100"/>
        <v>0</v>
      </c>
      <c r="AP466" s="157">
        <f t="shared" si="101"/>
        <v>0</v>
      </c>
      <c r="AQ466" s="156"/>
      <c r="AR466" s="160">
        <f t="shared" si="102"/>
        <v>0</v>
      </c>
      <c r="AS466" s="160">
        <f t="shared" si="103"/>
        <v>0</v>
      </c>
      <c r="AT466" s="8">
        <f t="shared" si="104"/>
        <v>0</v>
      </c>
      <c r="AW466" s="8">
        <f t="shared" si="105"/>
        <v>0</v>
      </c>
    </row>
    <row r="467" spans="1:54" s="109" customFormat="1" ht="11.25" x14ac:dyDescent="0.2">
      <c r="A467" s="284"/>
      <c r="B467" s="406"/>
      <c r="C467" s="37">
        <v>16</v>
      </c>
      <c r="D467" s="95" t="s">
        <v>247</v>
      </c>
      <c r="E467" s="95"/>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267"/>
      <c r="AE467" s="268"/>
      <c r="AF467" s="269"/>
      <c r="AG467" s="273">
        <v>0</v>
      </c>
      <c r="AH467" s="274"/>
      <c r="AI467" s="274"/>
      <c r="AJ467" s="274"/>
      <c r="AK467" s="274"/>
      <c r="AL467" s="275"/>
      <c r="AN467" s="109" t="s">
        <v>510</v>
      </c>
      <c r="AO467" s="157">
        <f t="shared" si="100"/>
        <v>0</v>
      </c>
      <c r="AP467" s="157">
        <f t="shared" si="101"/>
        <v>0</v>
      </c>
      <c r="AQ467" s="156"/>
      <c r="AR467" s="160">
        <f t="shared" si="102"/>
        <v>0</v>
      </c>
      <c r="AS467" s="160">
        <f t="shared" si="103"/>
        <v>0</v>
      </c>
      <c r="AT467" s="8">
        <f t="shared" si="104"/>
        <v>0</v>
      </c>
      <c r="AW467" s="8">
        <f t="shared" si="105"/>
        <v>0</v>
      </c>
    </row>
    <row r="468" spans="1:54" s="109" customFormat="1" ht="11.25" x14ac:dyDescent="0.2">
      <c r="A468" s="284"/>
      <c r="B468" s="406"/>
      <c r="C468" s="37">
        <v>17</v>
      </c>
      <c r="D468" s="95" t="s">
        <v>248</v>
      </c>
      <c r="E468" s="95"/>
      <c r="F468" s="95"/>
      <c r="G468" s="95"/>
      <c r="H468" s="95"/>
      <c r="I468" s="95"/>
      <c r="J468" s="95"/>
      <c r="K468" s="95"/>
      <c r="L468" s="95"/>
      <c r="M468" s="95"/>
      <c r="N468" s="95"/>
      <c r="O468" s="95"/>
      <c r="P468" s="95"/>
      <c r="Q468" s="95"/>
      <c r="R468" s="95"/>
      <c r="S468" s="95"/>
      <c r="T468" s="95"/>
      <c r="U468" s="95"/>
      <c r="V468" s="95"/>
      <c r="W468" s="95"/>
      <c r="X468" s="95"/>
      <c r="Y468" s="95"/>
      <c r="Z468" s="95"/>
      <c r="AA468" s="95"/>
      <c r="AB468" s="95"/>
      <c r="AC468" s="95"/>
      <c r="AD468" s="267"/>
      <c r="AE468" s="268"/>
      <c r="AF468" s="269"/>
      <c r="AG468" s="273">
        <v>0</v>
      </c>
      <c r="AH468" s="274"/>
      <c r="AI468" s="274"/>
      <c r="AJ468" s="274"/>
      <c r="AK468" s="274"/>
      <c r="AL468" s="275"/>
      <c r="AM468" s="109" t="s">
        <v>514</v>
      </c>
      <c r="AN468" s="8">
        <f>IF(B475=CONCATENATE("Error. Number of households cannot exceed ",AN451,"."),1,0)</f>
        <v>0</v>
      </c>
      <c r="AO468" s="157">
        <f t="shared" si="100"/>
        <v>0</v>
      </c>
      <c r="AP468" s="157">
        <f t="shared" si="101"/>
        <v>0</v>
      </c>
      <c r="AQ468" s="156"/>
      <c r="AR468" s="160">
        <f t="shared" si="102"/>
        <v>0</v>
      </c>
      <c r="AS468" s="160">
        <f t="shared" si="103"/>
        <v>0</v>
      </c>
      <c r="AT468" s="8">
        <f t="shared" si="104"/>
        <v>0</v>
      </c>
      <c r="AW468" s="8">
        <f t="shared" si="105"/>
        <v>0</v>
      </c>
    </row>
    <row r="469" spans="1:54" s="109" customFormat="1" ht="11.25" x14ac:dyDescent="0.2">
      <c r="A469" s="284"/>
      <c r="B469" s="406"/>
      <c r="C469" s="37">
        <v>18</v>
      </c>
      <c r="D469" s="95" t="s">
        <v>249</v>
      </c>
      <c r="E469" s="95"/>
      <c r="F469" s="95"/>
      <c r="G469" s="95"/>
      <c r="H469" s="95"/>
      <c r="I469" s="95"/>
      <c r="J469" s="95"/>
      <c r="K469" s="95"/>
      <c r="L469" s="95"/>
      <c r="M469" s="95"/>
      <c r="N469" s="95"/>
      <c r="O469" s="95"/>
      <c r="P469" s="95"/>
      <c r="Q469" s="95"/>
      <c r="R469" s="95"/>
      <c r="S469" s="95"/>
      <c r="T469" s="95"/>
      <c r="U469" s="95"/>
      <c r="V469" s="95"/>
      <c r="W469" s="95"/>
      <c r="X469" s="95"/>
      <c r="Y469" s="95"/>
      <c r="Z469" s="95"/>
      <c r="AA469" s="95"/>
      <c r="AB469" s="95"/>
      <c r="AC469" s="95"/>
      <c r="AD469" s="267"/>
      <c r="AE469" s="268"/>
      <c r="AF469" s="269"/>
      <c r="AG469" s="273">
        <v>0</v>
      </c>
      <c r="AH469" s="274"/>
      <c r="AI469" s="274"/>
      <c r="AJ469" s="274"/>
      <c r="AK469" s="274"/>
      <c r="AL469" s="275"/>
      <c r="AM469" s="109" t="s">
        <v>516</v>
      </c>
      <c r="AN469" s="8">
        <f>IF(B475=CONCATENATE("Error. If ",AG463," out of ",AN451," households had no income, then the number of households for each other income category cannot exceed ",AN455,"."),1,0)</f>
        <v>0</v>
      </c>
      <c r="AO469" s="157">
        <f t="shared" si="100"/>
        <v>0</v>
      </c>
      <c r="AP469" s="157">
        <f t="shared" si="101"/>
        <v>0</v>
      </c>
      <c r="AQ469" s="156"/>
      <c r="AR469" s="160">
        <f t="shared" si="102"/>
        <v>0</v>
      </c>
      <c r="AS469" s="160">
        <f t="shared" si="103"/>
        <v>0</v>
      </c>
      <c r="AT469" s="8">
        <f t="shared" si="104"/>
        <v>0</v>
      </c>
      <c r="AW469" s="8">
        <f t="shared" si="105"/>
        <v>0</v>
      </c>
    </row>
    <row r="470" spans="1:54" s="109" customFormat="1" ht="11.25" x14ac:dyDescent="0.2">
      <c r="A470" s="284"/>
      <c r="B470" s="406"/>
      <c r="C470" s="37">
        <v>19</v>
      </c>
      <c r="D470" s="95" t="s">
        <v>250</v>
      </c>
      <c r="E470" s="95"/>
      <c r="F470" s="95"/>
      <c r="G470" s="95"/>
      <c r="H470" s="95"/>
      <c r="I470" s="95"/>
      <c r="J470" s="95"/>
      <c r="K470" s="95"/>
      <c r="L470" s="95"/>
      <c r="M470" s="95"/>
      <c r="N470" s="95"/>
      <c r="O470" s="95"/>
      <c r="P470" s="95"/>
      <c r="Q470" s="95"/>
      <c r="R470" s="95"/>
      <c r="S470" s="95"/>
      <c r="T470" s="95"/>
      <c r="U470" s="95"/>
      <c r="V470" s="95"/>
      <c r="W470" s="95"/>
      <c r="X470" s="95"/>
      <c r="Y470" s="95"/>
      <c r="Z470" s="95"/>
      <c r="AA470" s="95"/>
      <c r="AB470" s="95"/>
      <c r="AC470" s="95"/>
      <c r="AD470" s="267"/>
      <c r="AE470" s="268"/>
      <c r="AF470" s="269"/>
      <c r="AG470" s="273">
        <v>0</v>
      </c>
      <c r="AH470" s="274"/>
      <c r="AI470" s="274"/>
      <c r="AJ470" s="274"/>
      <c r="AK470" s="274"/>
      <c r="AL470" s="275"/>
      <c r="AM470" s="109" t="s">
        <v>517</v>
      </c>
      <c r="AN470" s="8">
        <f>IF(B475=CONCATENATE("If no households accessed and/or maintained any sources of income, then the total number of households that had no income should equal ",AN451,"."),1,0)</f>
        <v>0</v>
      </c>
      <c r="AO470" s="157">
        <f t="shared" si="100"/>
        <v>0</v>
      </c>
      <c r="AP470" s="157">
        <f t="shared" si="101"/>
        <v>0</v>
      </c>
      <c r="AQ470" s="156"/>
      <c r="AR470" s="160">
        <f t="shared" si="102"/>
        <v>0</v>
      </c>
      <c r="AS470" s="160">
        <f t="shared" si="103"/>
        <v>0</v>
      </c>
      <c r="AT470" s="8">
        <f t="shared" si="104"/>
        <v>0</v>
      </c>
      <c r="AW470" s="8">
        <f t="shared" si="105"/>
        <v>0</v>
      </c>
    </row>
    <row r="471" spans="1:54" s="109" customFormat="1" ht="11.25" x14ac:dyDescent="0.2">
      <c r="A471" s="284"/>
      <c r="B471" s="406"/>
      <c r="C471" s="101" t="s">
        <v>259</v>
      </c>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31"/>
      <c r="Z471" s="131"/>
      <c r="AA471" s="131"/>
      <c r="AB471" s="131"/>
      <c r="AC471" s="131"/>
      <c r="AD471" s="131"/>
      <c r="AE471" s="131"/>
      <c r="AF471" s="131"/>
      <c r="AG471" s="128"/>
      <c r="AH471" s="128"/>
      <c r="AI471" s="128"/>
      <c r="AJ471" s="128"/>
      <c r="AK471" s="128"/>
      <c r="AL471" s="129"/>
      <c r="AM471" s="109" t="s">
        <v>518</v>
      </c>
      <c r="AN471" s="8">
        <f>IF(B475=CONCATENATE("Error. If ",AG463," out of ",AN451," households had no income, then the total number of households for all other income categories cannot be less than ",AN455," at minimum."),1,0)</f>
        <v>0</v>
      </c>
      <c r="AO471" s="159"/>
      <c r="AP471" s="157"/>
      <c r="AQ471" s="156"/>
      <c r="AR471" s="160"/>
      <c r="AS471" s="160"/>
      <c r="AT471" s="8"/>
      <c r="AW471" s="8"/>
    </row>
    <row r="472" spans="1:54" s="109" customFormat="1" ht="11.25" x14ac:dyDescent="0.2">
      <c r="A472" s="284"/>
      <c r="B472" s="406"/>
      <c r="C472" s="37">
        <v>20</v>
      </c>
      <c r="D472" s="95" t="s">
        <v>275</v>
      </c>
      <c r="E472" s="95"/>
      <c r="F472" s="95"/>
      <c r="G472" s="95"/>
      <c r="H472" s="95"/>
      <c r="I472" s="95"/>
      <c r="J472" s="95"/>
      <c r="K472" s="95"/>
      <c r="L472" s="95"/>
      <c r="M472" s="95"/>
      <c r="N472" s="95"/>
      <c r="O472" s="95"/>
      <c r="P472" s="95"/>
      <c r="Q472" s="95"/>
      <c r="R472" s="95"/>
      <c r="S472" s="95"/>
      <c r="T472" s="95"/>
      <c r="U472" s="95"/>
      <c r="V472" s="95"/>
      <c r="W472" s="95"/>
      <c r="X472" s="95"/>
      <c r="Y472" s="95"/>
      <c r="Z472" s="95"/>
      <c r="AA472" s="95"/>
      <c r="AB472" s="95"/>
      <c r="AC472" s="95"/>
      <c r="AD472" s="95"/>
      <c r="AE472" s="95"/>
      <c r="AF472" s="95"/>
      <c r="AG472" s="273">
        <v>0</v>
      </c>
      <c r="AH472" s="274"/>
      <c r="AI472" s="274"/>
      <c r="AJ472" s="274"/>
      <c r="AK472" s="274"/>
      <c r="AL472" s="275"/>
      <c r="AM472" s="109" t="s">
        <v>519</v>
      </c>
      <c r="AN472" s="8">
        <f>IF(B475=CONCATENATE("Error. The total number of households for these income categories cannot be less than ",AN451," at minimum."),1,0)</f>
        <v>0</v>
      </c>
      <c r="AO472" s="159"/>
      <c r="AP472" s="157">
        <f t="shared" ref="AP472:AP474" si="106">IF(AG472=0,0,1)</f>
        <v>0</v>
      </c>
      <c r="AQ472" s="155">
        <f>SUM(AG472:AL474)</f>
        <v>0</v>
      </c>
      <c r="AR472" s="160"/>
      <c r="AS472" s="160"/>
      <c r="AT472" s="8"/>
      <c r="AW472" s="8"/>
    </row>
    <row r="473" spans="1:54" s="109" customFormat="1" ht="11.25" x14ac:dyDescent="0.2">
      <c r="A473" s="284"/>
      <c r="B473" s="406"/>
      <c r="C473" s="37">
        <v>21</v>
      </c>
      <c r="D473" s="95" t="s">
        <v>276</v>
      </c>
      <c r="E473" s="95"/>
      <c r="F473" s="95"/>
      <c r="G473" s="95"/>
      <c r="H473" s="95"/>
      <c r="I473" s="95"/>
      <c r="J473" s="95"/>
      <c r="K473" s="95"/>
      <c r="L473" s="95"/>
      <c r="M473" s="95"/>
      <c r="N473" s="95"/>
      <c r="O473" s="95"/>
      <c r="P473" s="95"/>
      <c r="Q473" s="95"/>
      <c r="R473" s="95"/>
      <c r="S473" s="95"/>
      <c r="T473" s="95"/>
      <c r="U473" s="95"/>
      <c r="V473" s="95"/>
      <c r="W473" s="95"/>
      <c r="X473" s="95"/>
      <c r="Y473" s="95"/>
      <c r="Z473" s="95"/>
      <c r="AA473" s="95"/>
      <c r="AB473" s="95"/>
      <c r="AC473" s="95"/>
      <c r="AD473" s="95"/>
      <c r="AE473" s="95"/>
      <c r="AF473" s="95"/>
      <c r="AG473" s="273">
        <v>0</v>
      </c>
      <c r="AH473" s="274"/>
      <c r="AI473" s="274"/>
      <c r="AJ473" s="274"/>
      <c r="AK473" s="274"/>
      <c r="AL473" s="275"/>
      <c r="AM473" s="109" t="s">
        <v>520</v>
      </c>
      <c r="AN473" s="8">
        <f>IF(B475=CONCATENATE("Enter the number of households by household status. Total must equal ",AN451,". You've entered ",AQ472,"."),1,0)</f>
        <v>0</v>
      </c>
      <c r="AO473" s="159"/>
      <c r="AP473" s="157">
        <f t="shared" si="106"/>
        <v>0</v>
      </c>
      <c r="AQ473" s="156"/>
      <c r="AR473" s="160"/>
      <c r="AS473" s="160"/>
      <c r="AT473" s="8"/>
      <c r="AW473" s="8"/>
    </row>
    <row r="474" spans="1:54" s="109" customFormat="1" ht="11.25" x14ac:dyDescent="0.2">
      <c r="A474" s="284"/>
      <c r="B474" s="407"/>
      <c r="C474" s="37">
        <v>22</v>
      </c>
      <c r="D474" s="95" t="s">
        <v>277</v>
      </c>
      <c r="E474" s="95"/>
      <c r="F474" s="95"/>
      <c r="G474" s="95"/>
      <c r="H474" s="95"/>
      <c r="I474" s="95"/>
      <c r="J474" s="95"/>
      <c r="K474" s="95"/>
      <c r="L474" s="95"/>
      <c r="M474" s="95"/>
      <c r="N474" s="95"/>
      <c r="O474" s="95"/>
      <c r="P474" s="95"/>
      <c r="Q474" s="95"/>
      <c r="R474" s="95"/>
      <c r="S474" s="95"/>
      <c r="T474" s="95"/>
      <c r="U474" s="95"/>
      <c r="V474" s="95"/>
      <c r="W474" s="95"/>
      <c r="X474" s="95"/>
      <c r="Y474" s="95"/>
      <c r="Z474" s="95"/>
      <c r="AA474" s="95"/>
      <c r="AB474" s="95"/>
      <c r="AC474" s="95"/>
      <c r="AD474" s="95"/>
      <c r="AE474" s="95"/>
      <c r="AF474" s="95"/>
      <c r="AG474" s="273">
        <v>0</v>
      </c>
      <c r="AH474" s="274"/>
      <c r="AI474" s="274"/>
      <c r="AJ474" s="274"/>
      <c r="AK474" s="274"/>
      <c r="AL474" s="275"/>
      <c r="AO474" s="159"/>
      <c r="AP474" s="157">
        <f t="shared" si="106"/>
        <v>0</v>
      </c>
      <c r="AQ474" s="156"/>
      <c r="AR474" s="160"/>
      <c r="AS474" s="160"/>
      <c r="AT474" s="8"/>
      <c r="AU474" s="53" t="s">
        <v>365</v>
      </c>
      <c r="AW474" s="8"/>
      <c r="BA474" s="52" t="s">
        <v>511</v>
      </c>
      <c r="BB474" s="52">
        <f>$AQ$23</f>
        <v>0</v>
      </c>
    </row>
    <row r="475" spans="1:54" ht="12.75" x14ac:dyDescent="0.2">
      <c r="B475" s="258" t="str">
        <f>IF(BB475=1,"Error. If this is a semi-annual report, this section should be blank.",IF(NOT(AND(A41="Looking good! Proceed to Part 1.",A121="",A153="Looking good! Proceed to Part 2.",A201="Looking good! Proceed to Part 3.",A240="",A270="Looking good! Proceed to Part 4.",A305="Looking good! Proceed to Part 5: TBRA Outcomes.",B355="Looking good! Proceed to Part 5: STRMU Outcomes.",B402="Looking good! Proceed to Part 5: FBHA Outcomes.",B449="Looking good! Proceed to Part 5: PHP Outcomes.")),"",IF(BB474=1,"",IF(AX451=1,"You've entered outcome data, but your coversheet indicates that you did not undertake this activity. Please resolve this discrepancy.",IF(SUM(AW451:AW474)&gt;0,"Error. You've indicated this is not applicable, but you've entered outcome data. Please resolve this discrepancy.",IF(SUM(AT451:AT474)&gt;0,CONCATENATE("Error. Number of households cannot exceed ",AN451,"."),IF(AND(AM451=1,MIN(AO451:AO463)=0),"Select whether each source of income is applicable.",IF(SUM(AZ451:AZ462)&gt;0,CONCATENATE("Error. If ",AG463," out of ",AN451," households had no income, then the number of households for each other income category cannot exceed ",AN455,"."),IF(AU463=1,"If no households accessed and/or maintained any sources of income, please select ""yes"".",IF(AV463=1,CONCATENATE("If no households accessed and/or maintained any sources of income, then the total number of households that had no income should equal ",AN451,"."),IF(AND(AM451=1,SUM(AS451:AS463)&gt;0),"Enter the number of households that accessed and/or maintained these sources of income.",IF(AND(AN451&lt;&gt;AN455,BA451&gt;0),CONCATENATE("Error. If ",AG463," out of ",AN451," households had no income, then the total number of households for all other income categories cannot be less than ",AN455," at minimum."),IF(AND(AN451=AN455,BA451&gt;0),CONCATENATE("Error. The total number of households for these income categories cannot be less than ",AN455," at minimum."),IF(AND(AM451=1,MIN(AO465:AO470)=0),"Select whether each source of medical insurance and/or assistance is applicable.",IF(AND(AM451=1,SUM(AS465:AS470)&gt;0),"Enter the number of households that accessed and/or maintained these sources of medical insurance and/or assistance.",IF(AND(AM451=1,AN451&lt;&gt;AQ472),CONCATENATE("Enter the number of households by household status. Total must equal ",AN451,". You've entered ",AQ472,"."),"Looking good! Proceed to Part 5: Access to Care Outcomes."))))))))))))))))</f>
        <v/>
      </c>
      <c r="C475" s="258"/>
      <c r="D475" s="258"/>
      <c r="E475" s="258"/>
      <c r="F475" s="258"/>
      <c r="G475" s="258"/>
      <c r="H475" s="258"/>
      <c r="I475" s="258"/>
      <c r="J475" s="258"/>
      <c r="K475" s="258"/>
      <c r="L475" s="258"/>
      <c r="M475" s="258"/>
      <c r="N475" s="258"/>
      <c r="O475" s="258"/>
      <c r="P475" s="258"/>
      <c r="Q475" s="258"/>
      <c r="R475" s="258"/>
      <c r="S475" s="258"/>
      <c r="T475" s="258"/>
      <c r="U475" s="258"/>
      <c r="V475" s="258"/>
      <c r="W475" s="258"/>
      <c r="X475" s="258"/>
      <c r="Y475" s="258"/>
      <c r="Z475" s="258"/>
      <c r="AA475" s="258"/>
      <c r="AB475" s="258"/>
      <c r="AC475" s="258"/>
      <c r="AD475" s="258"/>
      <c r="AE475" s="258"/>
      <c r="AF475" s="258"/>
      <c r="AG475" s="258"/>
      <c r="AH475" s="258"/>
      <c r="AI475" s="258"/>
      <c r="AJ475" s="258"/>
      <c r="AK475" s="258"/>
      <c r="AL475" s="258"/>
      <c r="AU475" s="212">
        <f>IF(BB474=1,1,IF(AM451=0,1,IF(AND(AM451=1,B475="Looking good! Proceed to Part 5: Access to Care Outcomes.",SUM(AO451:AP474)&gt;0,SUM(AR451:AS474)=0,SUM(AT451:BA470)=0),1,0)))</f>
        <v>1</v>
      </c>
      <c r="BA475" s="1" t="s">
        <v>513</v>
      </c>
      <c r="BB475" s="163">
        <f>IF(AND($AV$23=1,(SUM(AO451:AP474))&gt;0),1,0)</f>
        <v>0</v>
      </c>
    </row>
    <row r="476" spans="1:54" s="109" customFormat="1" ht="11.25" x14ac:dyDescent="0.2">
      <c r="A476" s="284" t="s">
        <v>409</v>
      </c>
      <c r="B476" s="297" t="str">
        <f>IF(AG182&gt;0,CONCATENATE("Housing Assistance Household Output: ",AG182),"Housing Assistance Household Output: 0")</f>
        <v>Housing Assistance Household Output: 0</v>
      </c>
      <c r="C476" s="101" t="s">
        <v>263</v>
      </c>
      <c r="D476" s="128"/>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270" t="s">
        <v>375</v>
      </c>
      <c r="AE476" s="271"/>
      <c r="AF476" s="272"/>
      <c r="AG476" s="128"/>
      <c r="AH476" s="128"/>
      <c r="AI476" s="128"/>
      <c r="AJ476" s="128"/>
      <c r="AK476" s="128"/>
      <c r="AL476" s="129"/>
      <c r="AM476" s="4" t="s">
        <v>375</v>
      </c>
      <c r="AN476" s="8" t="s">
        <v>401</v>
      </c>
      <c r="AP476" s="109" t="s">
        <v>366</v>
      </c>
      <c r="AS476" s="8" t="s">
        <v>363</v>
      </c>
      <c r="AT476" s="109" t="s">
        <v>405</v>
      </c>
      <c r="AW476" s="109" t="s">
        <v>410</v>
      </c>
      <c r="AX476" s="109" t="s">
        <v>411</v>
      </c>
      <c r="AY476" s="109" t="s">
        <v>419</v>
      </c>
      <c r="AZ476" s="109" t="s">
        <v>420</v>
      </c>
      <c r="BA476" s="4" t="s">
        <v>150</v>
      </c>
      <c r="BB476" s="109" t="s">
        <v>375</v>
      </c>
    </row>
    <row r="477" spans="1:54" s="109" customFormat="1" ht="11.25" x14ac:dyDescent="0.2">
      <c r="A477" s="284"/>
      <c r="B477" s="298"/>
      <c r="C477" s="158">
        <v>1</v>
      </c>
      <c r="D477" s="95" t="s">
        <v>264</v>
      </c>
      <c r="E477" s="95"/>
      <c r="F477" s="95"/>
      <c r="G477" s="95"/>
      <c r="H477" s="95"/>
      <c r="I477" s="95"/>
      <c r="J477" s="95"/>
      <c r="K477" s="95"/>
      <c r="L477" s="95"/>
      <c r="M477" s="95"/>
      <c r="N477" s="95"/>
      <c r="O477" s="95"/>
      <c r="P477" s="95"/>
      <c r="Q477" s="95"/>
      <c r="R477" s="95"/>
      <c r="S477" s="95"/>
      <c r="T477" s="95"/>
      <c r="U477" s="95"/>
      <c r="V477" s="95"/>
      <c r="W477" s="95"/>
      <c r="X477" s="95"/>
      <c r="Y477" s="95"/>
      <c r="Z477" s="95"/>
      <c r="AA477" s="265" t="str">
        <f>IF(AND($AM$477=1,$AN$477&gt;0),AG477/$AN$477,"")</f>
        <v/>
      </c>
      <c r="AB477" s="265"/>
      <c r="AC477" s="266"/>
      <c r="AD477" s="267"/>
      <c r="AE477" s="268"/>
      <c r="AF477" s="269"/>
      <c r="AG477" s="273">
        <v>0</v>
      </c>
      <c r="AH477" s="274"/>
      <c r="AI477" s="274"/>
      <c r="AJ477" s="274"/>
      <c r="AK477" s="274"/>
      <c r="AL477" s="275"/>
      <c r="AM477" s="143">
        <f>IF(AG182&gt;0,1,0)</f>
        <v>0</v>
      </c>
      <c r="AN477" s="8">
        <f>IF(AM477=1,AG182,0)</f>
        <v>0</v>
      </c>
      <c r="AO477" s="157">
        <f t="shared" ref="AO477:AO482" si="107">IF(AD477=0,0,1)</f>
        <v>0</v>
      </c>
      <c r="AP477" s="157">
        <f t="shared" ref="AP477:AP482" si="108">IF(AG477=0,0,1)</f>
        <v>0</v>
      </c>
      <c r="AR477" s="160">
        <f t="shared" ref="AR477" si="109">IF(AND(SUM(AO477:AP477)&gt;0,AO477=0),1,0)</f>
        <v>0</v>
      </c>
      <c r="AS477" s="160">
        <f t="shared" ref="AS477" si="110">IF(AND(SUM(AO477:AP477)&gt;0,AP477=0,AD477="Yes"),1,0)</f>
        <v>0</v>
      </c>
      <c r="AT477" s="8">
        <f>IF(AG477&gt;$AN$477,1,0)</f>
        <v>0</v>
      </c>
      <c r="AW477" s="8">
        <f t="shared" ref="AW477" si="111">IF(AND(AD477="No",AP477&gt;0),1,0)</f>
        <v>0</v>
      </c>
      <c r="AX477" s="8">
        <f>IF(AND(AM477=0,SUM(AO477:AP482)&gt;0),1,0)</f>
        <v>0</v>
      </c>
      <c r="AY477" s="8">
        <f>IF(AG481&lt;AS489,1,0)</f>
        <v>0</v>
      </c>
      <c r="AZ477" s="8">
        <f>IF(AG479&lt;AT489,1,0)</f>
        <v>0</v>
      </c>
      <c r="BA477" s="4">
        <f>IF($AN$477=0,0,IF((AG477/$AN$477)&lt;0.8,1,0))</f>
        <v>0</v>
      </c>
      <c r="BB477" s="8">
        <f t="shared" ref="BB477:BB482" si="112">IF(AD477="Yes",1,0)</f>
        <v>0</v>
      </c>
    </row>
    <row r="478" spans="1:54" s="109" customFormat="1" ht="11.25" x14ac:dyDescent="0.2">
      <c r="A478" s="284"/>
      <c r="B478" s="298"/>
      <c r="C478" s="158">
        <v>2</v>
      </c>
      <c r="D478" s="95" t="s">
        <v>265</v>
      </c>
      <c r="E478" s="95"/>
      <c r="F478" s="95"/>
      <c r="G478" s="95"/>
      <c r="H478" s="95"/>
      <c r="I478" s="95"/>
      <c r="J478" s="95"/>
      <c r="K478" s="95"/>
      <c r="L478" s="95"/>
      <c r="M478" s="95"/>
      <c r="N478" s="95"/>
      <c r="O478" s="95"/>
      <c r="P478" s="95"/>
      <c r="Q478" s="95"/>
      <c r="R478" s="95"/>
      <c r="S478" s="95"/>
      <c r="T478" s="95"/>
      <c r="U478" s="95"/>
      <c r="V478" s="95"/>
      <c r="W478" s="95"/>
      <c r="X478" s="95"/>
      <c r="Y478" s="95"/>
      <c r="Z478" s="95"/>
      <c r="AA478" s="265" t="str">
        <f t="shared" ref="AA478:AA481" si="113">IF(AND($AM$477=1,$AN$477&gt;0),AG478/$AN$477,"")</f>
        <v/>
      </c>
      <c r="AB478" s="265"/>
      <c r="AC478" s="266"/>
      <c r="AD478" s="267"/>
      <c r="AE478" s="268"/>
      <c r="AF478" s="269"/>
      <c r="AG478" s="273">
        <v>0</v>
      </c>
      <c r="AH478" s="274"/>
      <c r="AI478" s="274"/>
      <c r="AJ478" s="274"/>
      <c r="AK478" s="274"/>
      <c r="AL478" s="275"/>
      <c r="AN478" s="109" t="s">
        <v>510</v>
      </c>
      <c r="AO478" s="157">
        <f t="shared" si="107"/>
        <v>0</v>
      </c>
      <c r="AP478" s="157">
        <f t="shared" si="108"/>
        <v>0</v>
      </c>
      <c r="AR478" s="160">
        <f t="shared" ref="AR478:AR482" si="114">IF(AND(SUM(AO478:AP478)&gt;0,AO478=0),1,0)</f>
        <v>0</v>
      </c>
      <c r="AS478" s="160">
        <f t="shared" ref="AS478:AS482" si="115">IF(AND(SUM(AO478:AP478)&gt;0,AP478=0,AD478="Yes"),1,0)</f>
        <v>0</v>
      </c>
      <c r="AT478" s="8">
        <f t="shared" ref="AT478:AT482" si="116">IF(AG478&gt;$AN$477,1,0)</f>
        <v>0</v>
      </c>
      <c r="AW478" s="8">
        <f t="shared" ref="AW478:AW482" si="117">IF(AND(AD478="No",AP478&gt;0),1,0)</f>
        <v>0</v>
      </c>
      <c r="AY478" s="109" t="s">
        <v>522</v>
      </c>
      <c r="BA478" s="4">
        <f t="shared" ref="BA478:BA481" si="118">IF($AN$477=0,0,IF((AG478/$AN$477)&lt;0.8,1,0))</f>
        <v>0</v>
      </c>
      <c r="BB478" s="8">
        <f t="shared" si="112"/>
        <v>0</v>
      </c>
    </row>
    <row r="479" spans="1:54" s="109" customFormat="1" ht="11.25" x14ac:dyDescent="0.2">
      <c r="A479" s="284"/>
      <c r="B479" s="298"/>
      <c r="C479" s="158">
        <v>3</v>
      </c>
      <c r="D479" s="95" t="s">
        <v>266</v>
      </c>
      <c r="E479" s="95"/>
      <c r="F479" s="95"/>
      <c r="G479" s="95"/>
      <c r="H479" s="95"/>
      <c r="I479" s="95"/>
      <c r="J479" s="95"/>
      <c r="K479" s="95"/>
      <c r="L479" s="95"/>
      <c r="M479" s="95"/>
      <c r="N479" s="95"/>
      <c r="O479" s="95"/>
      <c r="P479" s="95"/>
      <c r="Q479" s="95"/>
      <c r="R479" s="95"/>
      <c r="S479" s="95"/>
      <c r="T479" s="95"/>
      <c r="U479" s="95"/>
      <c r="V479" s="95"/>
      <c r="W479" s="95"/>
      <c r="X479" s="95"/>
      <c r="Y479" s="95"/>
      <c r="Z479" s="95"/>
      <c r="AA479" s="265" t="str">
        <f t="shared" si="113"/>
        <v/>
      </c>
      <c r="AB479" s="265"/>
      <c r="AC479" s="266"/>
      <c r="AD479" s="267"/>
      <c r="AE479" s="268"/>
      <c r="AF479" s="269"/>
      <c r="AG479" s="273">
        <v>0</v>
      </c>
      <c r="AH479" s="274"/>
      <c r="AI479" s="274"/>
      <c r="AJ479" s="274"/>
      <c r="AK479" s="274"/>
      <c r="AL479" s="275"/>
      <c r="AM479" s="109" t="s">
        <v>405</v>
      </c>
      <c r="AN479" s="8">
        <f>IF(B510=CONCATENATE("Error. Number of households cannot exceed ",AN477,"."),1,0)</f>
        <v>0</v>
      </c>
      <c r="AO479" s="157">
        <f t="shared" si="107"/>
        <v>0</v>
      </c>
      <c r="AP479" s="157">
        <f t="shared" si="108"/>
        <v>0</v>
      </c>
      <c r="AR479" s="160">
        <f t="shared" si="114"/>
        <v>0</v>
      </c>
      <c r="AS479" s="160">
        <f t="shared" si="115"/>
        <v>0</v>
      </c>
      <c r="AT479" s="8">
        <f t="shared" si="116"/>
        <v>0</v>
      </c>
      <c r="AW479" s="8">
        <f t="shared" si="117"/>
        <v>0</v>
      </c>
      <c r="AY479" s="8">
        <f>IF(AG482&lt;AU489,1,0)</f>
        <v>0</v>
      </c>
      <c r="BA479" s="4">
        <f t="shared" si="118"/>
        <v>0</v>
      </c>
      <c r="BB479" s="8">
        <f t="shared" si="112"/>
        <v>0</v>
      </c>
    </row>
    <row r="480" spans="1:54" s="109" customFormat="1" ht="11.25" x14ac:dyDescent="0.2">
      <c r="A480" s="284"/>
      <c r="B480" s="298"/>
      <c r="C480" s="158">
        <v>4</v>
      </c>
      <c r="D480" s="95" t="s">
        <v>267</v>
      </c>
      <c r="E480" s="95"/>
      <c r="F480" s="95"/>
      <c r="G480" s="95"/>
      <c r="H480" s="95"/>
      <c r="I480" s="95"/>
      <c r="J480" s="95"/>
      <c r="K480" s="95"/>
      <c r="L480" s="95"/>
      <c r="M480" s="95"/>
      <c r="N480" s="95"/>
      <c r="O480" s="95"/>
      <c r="P480" s="95"/>
      <c r="Q480" s="95"/>
      <c r="R480" s="95"/>
      <c r="S480" s="95"/>
      <c r="T480" s="95"/>
      <c r="U480" s="95"/>
      <c r="V480" s="95"/>
      <c r="W480" s="95"/>
      <c r="X480" s="95"/>
      <c r="Y480" s="95"/>
      <c r="Z480" s="95"/>
      <c r="AA480" s="265" t="str">
        <f t="shared" si="113"/>
        <v/>
      </c>
      <c r="AB480" s="265"/>
      <c r="AC480" s="266"/>
      <c r="AD480" s="267"/>
      <c r="AE480" s="268"/>
      <c r="AF480" s="269"/>
      <c r="AG480" s="273">
        <v>0</v>
      </c>
      <c r="AH480" s="274"/>
      <c r="AI480" s="274"/>
      <c r="AJ480" s="274"/>
      <c r="AK480" s="274"/>
      <c r="AL480" s="275"/>
      <c r="AM480" s="109" t="s">
        <v>420</v>
      </c>
      <c r="AN480" s="8">
        <f>IF(B510=CONCATENATE("Error. At least ",AT485," TBRA households, ",AT486," STRMU households, ",AT487," FBHA households, and ",AT488," PHP households had medical insurance and/or assistance (minimum must be ",AT489,")."),1,)</f>
        <v>0</v>
      </c>
      <c r="AO480" s="157">
        <f t="shared" si="107"/>
        <v>0</v>
      </c>
      <c r="AP480" s="157">
        <f t="shared" si="108"/>
        <v>0</v>
      </c>
      <c r="AR480" s="160">
        <f t="shared" si="114"/>
        <v>0</v>
      </c>
      <c r="AS480" s="160">
        <f t="shared" si="115"/>
        <v>0</v>
      </c>
      <c r="AT480" s="8">
        <f t="shared" si="116"/>
        <v>0</v>
      </c>
      <c r="AW480" s="8">
        <f t="shared" si="117"/>
        <v>0</v>
      </c>
      <c r="BA480" s="4">
        <f t="shared" si="118"/>
        <v>0</v>
      </c>
      <c r="BB480" s="8">
        <f t="shared" si="112"/>
        <v>0</v>
      </c>
    </row>
    <row r="481" spans="1:54" s="109" customFormat="1" ht="11.25" x14ac:dyDescent="0.2">
      <c r="A481" s="284"/>
      <c r="B481" s="298"/>
      <c r="C481" s="158">
        <v>5</v>
      </c>
      <c r="D481" s="95" t="s">
        <v>268</v>
      </c>
      <c r="E481" s="95"/>
      <c r="F481" s="95"/>
      <c r="G481" s="95"/>
      <c r="H481" s="95"/>
      <c r="I481" s="95"/>
      <c r="J481" s="95"/>
      <c r="K481" s="95"/>
      <c r="L481" s="95"/>
      <c r="M481" s="95"/>
      <c r="N481" s="95"/>
      <c r="O481" s="95"/>
      <c r="P481" s="95"/>
      <c r="Q481" s="95"/>
      <c r="R481" s="95"/>
      <c r="S481" s="95"/>
      <c r="T481" s="95"/>
      <c r="U481" s="95"/>
      <c r="V481" s="95"/>
      <c r="W481" s="95"/>
      <c r="X481" s="95"/>
      <c r="Y481" s="95"/>
      <c r="Z481" s="95"/>
      <c r="AA481" s="265" t="str">
        <f t="shared" si="113"/>
        <v/>
      </c>
      <c r="AB481" s="265"/>
      <c r="AC481" s="266"/>
      <c r="AD481" s="267"/>
      <c r="AE481" s="268"/>
      <c r="AF481" s="269"/>
      <c r="AG481" s="273">
        <v>0</v>
      </c>
      <c r="AH481" s="274"/>
      <c r="AI481" s="274"/>
      <c r="AJ481" s="274"/>
      <c r="AK481" s="274"/>
      <c r="AL481" s="275"/>
      <c r="AM481" s="109" t="s">
        <v>419</v>
      </c>
      <c r="AN481" s="8">
        <f>IF(B510=CONCATENATE("Error. At least ",AS485," TBRA households, ",AS486," STRMU households, ",AS487," FBHA households, and ",AS488," PHP households had income (minimum must be ",AS489,")."),1,0)</f>
        <v>0</v>
      </c>
      <c r="AO481" s="157">
        <f t="shared" si="107"/>
        <v>0</v>
      </c>
      <c r="AP481" s="157">
        <f t="shared" si="108"/>
        <v>0</v>
      </c>
      <c r="AR481" s="160">
        <f t="shared" si="114"/>
        <v>0</v>
      </c>
      <c r="AS481" s="160">
        <f t="shared" si="115"/>
        <v>0</v>
      </c>
      <c r="AT481" s="8">
        <f t="shared" si="116"/>
        <v>0</v>
      </c>
      <c r="AW481" s="8">
        <f t="shared" si="117"/>
        <v>0</v>
      </c>
      <c r="BA481" s="4">
        <f t="shared" si="118"/>
        <v>0</v>
      </c>
      <c r="BB481" s="8">
        <f t="shared" si="112"/>
        <v>0</v>
      </c>
    </row>
    <row r="482" spans="1:54" s="109" customFormat="1" ht="11.25" x14ac:dyDescent="0.2">
      <c r="A482" s="284"/>
      <c r="B482" s="298"/>
      <c r="C482" s="158">
        <v>6</v>
      </c>
      <c r="D482" s="95" t="s">
        <v>269</v>
      </c>
      <c r="E482" s="95"/>
      <c r="F482" s="95"/>
      <c r="G482" s="95"/>
      <c r="H482" s="95"/>
      <c r="I482" s="95"/>
      <c r="J482" s="95"/>
      <c r="K482" s="95"/>
      <c r="L482" s="95"/>
      <c r="M482" s="95"/>
      <c r="N482" s="95"/>
      <c r="O482" s="95"/>
      <c r="P482" s="95"/>
      <c r="Q482" s="95"/>
      <c r="R482" s="95"/>
      <c r="S482" s="95"/>
      <c r="T482" s="95"/>
      <c r="U482" s="95"/>
      <c r="V482" s="95"/>
      <c r="W482" s="95"/>
      <c r="X482" s="95"/>
      <c r="Y482" s="95"/>
      <c r="Z482" s="95"/>
      <c r="AA482" s="265" t="str">
        <f>IF(AND($AM$477=1,$AN$477&gt;0),AG482/$AN$477,"")</f>
        <v/>
      </c>
      <c r="AB482" s="265"/>
      <c r="AC482" s="266"/>
      <c r="AD482" s="267"/>
      <c r="AE482" s="268"/>
      <c r="AF482" s="269"/>
      <c r="AG482" s="273">
        <v>0</v>
      </c>
      <c r="AH482" s="274"/>
      <c r="AI482" s="274"/>
      <c r="AJ482" s="274"/>
      <c r="AK482" s="274"/>
      <c r="AL482" s="275"/>
      <c r="AM482" s="109" t="s">
        <v>522</v>
      </c>
      <c r="AN482" s="8">
        <f>IF(B510=CONCATENATE("Error. At least ",AU485," TBRA households, ",AU486," STRMU households, ",AU487," FBHA households, and ",AU488," PHP households had earned income from employment (minimum must be ",AU489,")."),1,0)</f>
        <v>0</v>
      </c>
      <c r="AO482" s="157">
        <f t="shared" si="107"/>
        <v>0</v>
      </c>
      <c r="AP482" s="157">
        <f t="shared" si="108"/>
        <v>0</v>
      </c>
      <c r="AR482" s="160">
        <f t="shared" si="114"/>
        <v>0</v>
      </c>
      <c r="AS482" s="160">
        <f t="shared" si="115"/>
        <v>0</v>
      </c>
      <c r="AT482" s="8">
        <f t="shared" si="116"/>
        <v>0</v>
      </c>
      <c r="AW482" s="8">
        <f t="shared" si="117"/>
        <v>0</v>
      </c>
      <c r="BA482" s="4"/>
      <c r="BB482" s="8">
        <f t="shared" si="112"/>
        <v>0</v>
      </c>
    </row>
    <row r="483" spans="1:54" s="4" customFormat="1" ht="11.25" x14ac:dyDescent="0.2">
      <c r="A483" s="284"/>
      <c r="B483" s="298"/>
      <c r="C483" s="277" t="s">
        <v>418</v>
      </c>
      <c r="D483" s="277"/>
      <c r="E483" s="277"/>
      <c r="F483" s="277"/>
      <c r="G483" s="277"/>
      <c r="H483" s="277"/>
      <c r="I483" s="277"/>
      <c r="J483" s="277"/>
      <c r="K483" s="277"/>
      <c r="L483" s="277"/>
      <c r="M483" s="277"/>
      <c r="N483" s="277"/>
      <c r="O483" s="277"/>
      <c r="P483" s="277"/>
      <c r="Q483" s="277"/>
      <c r="R483" s="277"/>
      <c r="S483" s="277"/>
      <c r="T483" s="277"/>
      <c r="U483" s="277"/>
      <c r="V483" s="277"/>
      <c r="W483" s="277"/>
      <c r="X483" s="277"/>
      <c r="Y483" s="277"/>
      <c r="Z483" s="277"/>
      <c r="AA483" s="277"/>
      <c r="AB483" s="277"/>
      <c r="AC483" s="277"/>
      <c r="AD483" s="277"/>
      <c r="AE483" s="277"/>
      <c r="AF483" s="277"/>
      <c r="AG483" s="277"/>
      <c r="AH483" s="277"/>
      <c r="AI483" s="277"/>
      <c r="AJ483" s="277"/>
      <c r="AK483" s="277"/>
      <c r="AL483" s="278"/>
    </row>
    <row r="484" spans="1:54" s="4" customFormat="1" ht="11.25" x14ac:dyDescent="0.2">
      <c r="A484" s="284"/>
      <c r="B484" s="298"/>
      <c r="C484" s="222"/>
      <c r="D484" s="222"/>
      <c r="E484" s="222"/>
      <c r="F484" s="222"/>
      <c r="G484" s="222"/>
      <c r="H484" s="222"/>
      <c r="I484" s="222"/>
      <c r="J484" s="222"/>
      <c r="K484" s="222"/>
      <c r="L484" s="222"/>
      <c r="M484" s="222"/>
      <c r="N484" s="222"/>
      <c r="O484" s="222"/>
      <c r="P484" s="222"/>
      <c r="Q484" s="222"/>
      <c r="R484" s="222"/>
      <c r="S484" s="222"/>
      <c r="T484" s="222"/>
      <c r="U484" s="222"/>
      <c r="V484" s="222"/>
      <c r="W484" s="222"/>
      <c r="X484" s="222"/>
      <c r="Y484" s="222"/>
      <c r="Z484" s="222"/>
      <c r="AA484" s="222"/>
      <c r="AB484" s="222"/>
      <c r="AC484" s="222"/>
      <c r="AD484" s="222"/>
      <c r="AE484" s="222"/>
      <c r="AF484" s="222"/>
      <c r="AG484" s="222"/>
      <c r="AH484" s="222"/>
      <c r="AI484" s="222"/>
      <c r="AJ484" s="283" t="s">
        <v>551</v>
      </c>
      <c r="AK484" s="283"/>
      <c r="AL484" s="283"/>
      <c r="AR484" s="4" t="s">
        <v>424</v>
      </c>
      <c r="AS484" s="4" t="s">
        <v>422</v>
      </c>
      <c r="AT484" s="4" t="s">
        <v>423</v>
      </c>
      <c r="AU484" s="4" t="s">
        <v>521</v>
      </c>
    </row>
    <row r="485" spans="1:54" s="4" customFormat="1" ht="11.25" x14ac:dyDescent="0.2">
      <c r="A485" s="284"/>
      <c r="B485" s="298"/>
      <c r="C485" s="279"/>
      <c r="D485" s="279"/>
      <c r="E485" s="279"/>
      <c r="F485" s="279"/>
      <c r="G485" s="279"/>
      <c r="H485" s="279"/>
      <c r="I485" s="279"/>
      <c r="J485" s="279"/>
      <c r="K485" s="279"/>
      <c r="L485" s="279"/>
      <c r="M485" s="279"/>
      <c r="N485" s="279"/>
      <c r="O485" s="279"/>
      <c r="P485" s="279"/>
      <c r="Q485" s="279"/>
      <c r="R485" s="279"/>
      <c r="S485" s="279"/>
      <c r="T485" s="279"/>
      <c r="U485" s="279"/>
      <c r="V485" s="279"/>
      <c r="W485" s="279"/>
      <c r="X485" s="279"/>
      <c r="Y485" s="279"/>
      <c r="Z485" s="279"/>
      <c r="AA485" s="279"/>
      <c r="AB485" s="279"/>
      <c r="AC485" s="279"/>
      <c r="AD485" s="279"/>
      <c r="AE485" s="279"/>
      <c r="AF485" s="279"/>
      <c r="AG485" s="279"/>
      <c r="AH485" s="279"/>
      <c r="AI485" s="279"/>
      <c r="AJ485" s="279"/>
      <c r="AK485" s="279"/>
      <c r="AL485" s="280"/>
      <c r="AR485" s="4" t="s">
        <v>15</v>
      </c>
      <c r="AS485" s="4">
        <f>AN320</f>
        <v>0</v>
      </c>
      <c r="AT485" s="4">
        <f>AN334</f>
        <v>0</v>
      </c>
      <c r="AU485" s="4">
        <f>AG320</f>
        <v>0</v>
      </c>
      <c r="AW485" s="109"/>
      <c r="AX485" s="109"/>
      <c r="AY485" s="109"/>
    </row>
    <row r="486" spans="1:54" s="4" customFormat="1" ht="11.25" x14ac:dyDescent="0.2">
      <c r="A486" s="284"/>
      <c r="B486" s="298"/>
      <c r="C486" s="279"/>
      <c r="D486" s="279"/>
      <c r="E486" s="279"/>
      <c r="F486" s="279"/>
      <c r="G486" s="279"/>
      <c r="H486" s="279"/>
      <c r="I486" s="279"/>
      <c r="J486" s="279"/>
      <c r="K486" s="279"/>
      <c r="L486" s="279"/>
      <c r="M486" s="279"/>
      <c r="N486" s="279"/>
      <c r="O486" s="279"/>
      <c r="P486" s="279"/>
      <c r="Q486" s="279"/>
      <c r="R486" s="279"/>
      <c r="S486" s="279"/>
      <c r="T486" s="279"/>
      <c r="U486" s="279"/>
      <c r="V486" s="279"/>
      <c r="W486" s="279"/>
      <c r="X486" s="279"/>
      <c r="Y486" s="279"/>
      <c r="Z486" s="279"/>
      <c r="AA486" s="279"/>
      <c r="AB486" s="279"/>
      <c r="AC486" s="279"/>
      <c r="AD486" s="279"/>
      <c r="AE486" s="279"/>
      <c r="AF486" s="279"/>
      <c r="AG486" s="279"/>
      <c r="AH486" s="279"/>
      <c r="AI486" s="279"/>
      <c r="AJ486" s="279"/>
      <c r="AK486" s="279"/>
      <c r="AL486" s="280"/>
      <c r="AR486" s="4" t="s">
        <v>16</v>
      </c>
      <c r="AS486" s="4">
        <f>AN366</f>
        <v>0</v>
      </c>
      <c r="AT486" s="4">
        <f>AN380</f>
        <v>0</v>
      </c>
      <c r="AU486" s="4">
        <f>AG366</f>
        <v>0</v>
      </c>
      <c r="AW486" s="109"/>
      <c r="AX486" s="109"/>
      <c r="AY486" s="109"/>
      <c r="BA486" s="52" t="s">
        <v>511</v>
      </c>
      <c r="BB486" s="52">
        <f>$AQ$23</f>
        <v>0</v>
      </c>
    </row>
    <row r="487" spans="1:54" s="4" customFormat="1" ht="11.25" x14ac:dyDescent="0.2">
      <c r="A487" s="284"/>
      <c r="B487" s="298"/>
      <c r="C487" s="279"/>
      <c r="D487" s="279"/>
      <c r="E487" s="279"/>
      <c r="F487" s="279"/>
      <c r="G487" s="279"/>
      <c r="H487" s="279"/>
      <c r="I487" s="279"/>
      <c r="J487" s="279"/>
      <c r="K487" s="279"/>
      <c r="L487" s="279"/>
      <c r="M487" s="279"/>
      <c r="N487" s="279"/>
      <c r="O487" s="279"/>
      <c r="P487" s="279"/>
      <c r="Q487" s="279"/>
      <c r="R487" s="279"/>
      <c r="S487" s="279"/>
      <c r="T487" s="279"/>
      <c r="U487" s="279"/>
      <c r="V487" s="279"/>
      <c r="W487" s="279"/>
      <c r="X487" s="279"/>
      <c r="Y487" s="279"/>
      <c r="Z487" s="279"/>
      <c r="AA487" s="279"/>
      <c r="AB487" s="279"/>
      <c r="AC487" s="279"/>
      <c r="AD487" s="279"/>
      <c r="AE487" s="279"/>
      <c r="AF487" s="279"/>
      <c r="AG487" s="279"/>
      <c r="AH487" s="279"/>
      <c r="AI487" s="279"/>
      <c r="AJ487" s="279"/>
      <c r="AK487" s="279"/>
      <c r="AL487" s="280"/>
      <c r="AR487" s="4" t="s">
        <v>140</v>
      </c>
      <c r="AS487" s="4">
        <f>AN414</f>
        <v>0</v>
      </c>
      <c r="AT487" s="4">
        <f>AN428</f>
        <v>0</v>
      </c>
      <c r="AU487" s="4">
        <f>AG414</f>
        <v>0</v>
      </c>
      <c r="AW487" s="109"/>
      <c r="AX487" s="109"/>
      <c r="AY487" s="109"/>
      <c r="BA487" s="4" t="s">
        <v>513</v>
      </c>
      <c r="BB487" s="163">
        <f>IF(AND($AV$23=1,(SUM(AO477:AP482)+SUM(AO494:AP509))&gt;0,C485&lt;&gt;""),1,0)</f>
        <v>0</v>
      </c>
    </row>
    <row r="488" spans="1:54" s="4" customFormat="1" ht="11.25" x14ac:dyDescent="0.2">
      <c r="A488" s="284"/>
      <c r="B488" s="298"/>
      <c r="C488" s="279"/>
      <c r="D488" s="279"/>
      <c r="E488" s="279"/>
      <c r="F488" s="279"/>
      <c r="G488" s="279"/>
      <c r="H488" s="279"/>
      <c r="I488" s="279"/>
      <c r="J488" s="279"/>
      <c r="K488" s="279"/>
      <c r="L488" s="279"/>
      <c r="M488" s="279"/>
      <c r="N488" s="279"/>
      <c r="O488" s="279"/>
      <c r="P488" s="279"/>
      <c r="Q488" s="279"/>
      <c r="R488" s="279"/>
      <c r="S488" s="279"/>
      <c r="T488" s="279"/>
      <c r="U488" s="279"/>
      <c r="V488" s="279"/>
      <c r="W488" s="279"/>
      <c r="X488" s="279"/>
      <c r="Y488" s="279"/>
      <c r="Z488" s="279"/>
      <c r="AA488" s="279"/>
      <c r="AB488" s="279"/>
      <c r="AC488" s="279"/>
      <c r="AD488" s="279"/>
      <c r="AE488" s="279"/>
      <c r="AF488" s="279"/>
      <c r="AG488" s="279"/>
      <c r="AH488" s="279"/>
      <c r="AI488" s="279"/>
      <c r="AJ488" s="279"/>
      <c r="AK488" s="279"/>
      <c r="AL488" s="280"/>
      <c r="AR488" s="4" t="s">
        <v>17</v>
      </c>
      <c r="AS488" s="4">
        <f>AN455</f>
        <v>0</v>
      </c>
      <c r="AT488" s="4">
        <f>AN465</f>
        <v>0</v>
      </c>
      <c r="AU488" s="4">
        <f>AG451</f>
        <v>0</v>
      </c>
      <c r="AW488" s="109"/>
      <c r="AX488" s="109"/>
      <c r="AY488" s="109"/>
    </row>
    <row r="489" spans="1:54" s="4" customFormat="1" ht="11.25" x14ac:dyDescent="0.2">
      <c r="A489" s="284"/>
      <c r="B489" s="298"/>
      <c r="C489" s="279"/>
      <c r="D489" s="279"/>
      <c r="E489" s="279"/>
      <c r="F489" s="279"/>
      <c r="G489" s="279"/>
      <c r="H489" s="279"/>
      <c r="I489" s="279"/>
      <c r="J489" s="279"/>
      <c r="K489" s="279"/>
      <c r="L489" s="279"/>
      <c r="M489" s="279"/>
      <c r="N489" s="279"/>
      <c r="O489" s="279"/>
      <c r="P489" s="279"/>
      <c r="Q489" s="279"/>
      <c r="R489" s="279"/>
      <c r="S489" s="279"/>
      <c r="T489" s="279"/>
      <c r="U489" s="279"/>
      <c r="V489" s="279"/>
      <c r="W489" s="279"/>
      <c r="X489" s="279"/>
      <c r="Y489" s="279"/>
      <c r="Z489" s="279"/>
      <c r="AA489" s="279"/>
      <c r="AB489" s="279"/>
      <c r="AC489" s="279"/>
      <c r="AD489" s="279"/>
      <c r="AE489" s="279"/>
      <c r="AF489" s="279"/>
      <c r="AG489" s="279"/>
      <c r="AH489" s="279"/>
      <c r="AI489" s="279"/>
      <c r="AJ489" s="279"/>
      <c r="AK489" s="279"/>
      <c r="AL489" s="280"/>
      <c r="AR489" s="4" t="s">
        <v>424</v>
      </c>
      <c r="AS489" s="4">
        <f>MAX(AS485:AS488)</f>
        <v>0</v>
      </c>
      <c r="AT489" s="4">
        <f>MAX(AT485:AT488)</f>
        <v>0</v>
      </c>
      <c r="AU489" s="4">
        <f>MAX(AU485:AU488)</f>
        <v>0</v>
      </c>
      <c r="AW489" s="109"/>
      <c r="AX489" s="109"/>
      <c r="AY489" s="109"/>
    </row>
    <row r="490" spans="1:54" s="4" customFormat="1" ht="11.25" x14ac:dyDescent="0.2">
      <c r="A490" s="284"/>
      <c r="B490" s="298"/>
      <c r="C490" s="279"/>
      <c r="D490" s="279"/>
      <c r="E490" s="279"/>
      <c r="F490" s="279"/>
      <c r="G490" s="279"/>
      <c r="H490" s="279"/>
      <c r="I490" s="279"/>
      <c r="J490" s="279"/>
      <c r="K490" s="279"/>
      <c r="L490" s="279"/>
      <c r="M490" s="279"/>
      <c r="N490" s="279"/>
      <c r="O490" s="279"/>
      <c r="P490" s="279"/>
      <c r="Q490" s="279"/>
      <c r="R490" s="279"/>
      <c r="S490" s="279"/>
      <c r="T490" s="279"/>
      <c r="U490" s="279"/>
      <c r="V490" s="279"/>
      <c r="W490" s="279"/>
      <c r="X490" s="279"/>
      <c r="Y490" s="279"/>
      <c r="Z490" s="279"/>
      <c r="AA490" s="279"/>
      <c r="AB490" s="279"/>
      <c r="AC490" s="279"/>
      <c r="AD490" s="279"/>
      <c r="AE490" s="279"/>
      <c r="AF490" s="279"/>
      <c r="AG490" s="279"/>
      <c r="AH490" s="279"/>
      <c r="AI490" s="279"/>
      <c r="AJ490" s="279"/>
      <c r="AK490" s="279"/>
      <c r="AL490" s="280"/>
      <c r="AW490" s="109"/>
      <c r="AX490" s="109"/>
      <c r="AY490" s="109"/>
    </row>
    <row r="491" spans="1:54" s="4" customFormat="1" ht="11.25" x14ac:dyDescent="0.2">
      <c r="A491" s="284"/>
      <c r="B491" s="299"/>
      <c r="C491" s="281"/>
      <c r="D491" s="281"/>
      <c r="E491" s="281"/>
      <c r="F491" s="281"/>
      <c r="G491" s="281"/>
      <c r="H491" s="281"/>
      <c r="I491" s="281"/>
      <c r="J491" s="281"/>
      <c r="K491" s="281"/>
      <c r="L491" s="281"/>
      <c r="M491" s="281"/>
      <c r="N491" s="281"/>
      <c r="O491" s="281"/>
      <c r="P491" s="281"/>
      <c r="Q491" s="281"/>
      <c r="R491" s="281"/>
      <c r="S491" s="281"/>
      <c r="T491" s="281"/>
      <c r="U491" s="281"/>
      <c r="V491" s="281"/>
      <c r="W491" s="281"/>
      <c r="X491" s="281"/>
      <c r="Y491" s="281"/>
      <c r="Z491" s="281"/>
      <c r="AA491" s="281"/>
      <c r="AB491" s="281"/>
      <c r="AC491" s="281"/>
      <c r="AD491" s="281"/>
      <c r="AE491" s="281"/>
      <c r="AF491" s="281"/>
      <c r="AG491" s="281"/>
      <c r="AH491" s="281"/>
      <c r="AI491" s="281"/>
      <c r="AJ491" s="281"/>
      <c r="AK491" s="281"/>
      <c r="AL491" s="282"/>
      <c r="AW491" s="109"/>
      <c r="AX491" s="109"/>
      <c r="AY491" s="109"/>
    </row>
    <row r="492" spans="1:54" s="4" customFormat="1" ht="11.25" x14ac:dyDescent="0.2">
      <c r="A492" s="284"/>
      <c r="AB492" s="52"/>
      <c r="AW492" s="109"/>
      <c r="AX492" s="109"/>
      <c r="AY492" s="109"/>
    </row>
    <row r="493" spans="1:54" s="4" customFormat="1" ht="11.25" x14ac:dyDescent="0.2">
      <c r="A493" s="284"/>
      <c r="B493" s="56" t="s">
        <v>158</v>
      </c>
      <c r="C493" s="74"/>
      <c r="D493" s="28"/>
      <c r="E493" s="28"/>
      <c r="F493" s="28"/>
      <c r="G493" s="28"/>
      <c r="H493" s="28"/>
      <c r="I493" s="28"/>
      <c r="J493" s="28"/>
      <c r="K493" s="28"/>
      <c r="L493" s="28"/>
      <c r="M493" s="28"/>
      <c r="N493" s="28"/>
      <c r="O493" s="28"/>
      <c r="P493" s="28"/>
      <c r="Q493" s="28"/>
      <c r="R493" s="28"/>
      <c r="S493" s="28"/>
      <c r="T493" s="28"/>
      <c r="U493" s="28"/>
      <c r="V493" s="28"/>
      <c r="W493" s="28"/>
      <c r="X493" s="28"/>
      <c r="Y493" s="74"/>
      <c r="Z493" s="74"/>
      <c r="AA493" s="28"/>
      <c r="AB493" s="28"/>
      <c r="AC493" s="28"/>
      <c r="AD493" s="276" t="s">
        <v>375</v>
      </c>
      <c r="AE493" s="276"/>
      <c r="AF493" s="276"/>
      <c r="AG493" s="28"/>
      <c r="AH493" s="28"/>
      <c r="AI493" s="28"/>
      <c r="AJ493" s="28"/>
      <c r="AK493" s="28"/>
      <c r="AL493" s="29"/>
      <c r="AM493" s="4" t="s">
        <v>375</v>
      </c>
      <c r="AN493" s="53" t="s">
        <v>449</v>
      </c>
      <c r="AO493" s="109"/>
      <c r="AP493" s="109" t="s">
        <v>366</v>
      </c>
      <c r="AR493" s="109"/>
      <c r="AS493" s="8" t="s">
        <v>363</v>
      </c>
      <c r="AT493" s="109" t="s">
        <v>450</v>
      </c>
      <c r="AU493" s="109"/>
      <c r="AV493" s="109" t="s">
        <v>451</v>
      </c>
      <c r="AW493" s="109" t="s">
        <v>410</v>
      </c>
      <c r="AX493" s="4" t="s">
        <v>448</v>
      </c>
      <c r="AY493" s="4" t="s">
        <v>447</v>
      </c>
      <c r="BB493" s="109"/>
    </row>
    <row r="494" spans="1:54" s="4" customFormat="1" ht="11.25" x14ac:dyDescent="0.2">
      <c r="A494" s="284"/>
      <c r="B494" s="36">
        <v>1</v>
      </c>
      <c r="C494" s="59" t="s">
        <v>440</v>
      </c>
      <c r="D494" s="59"/>
      <c r="E494" s="59"/>
      <c r="F494" s="59"/>
      <c r="G494" s="59"/>
      <c r="H494" s="59"/>
      <c r="I494" s="59"/>
      <c r="J494" s="59"/>
      <c r="K494" s="59"/>
      <c r="L494" s="59"/>
      <c r="M494" s="59"/>
      <c r="N494" s="59"/>
      <c r="O494" s="59"/>
      <c r="P494" s="59"/>
      <c r="Q494" s="59"/>
      <c r="R494" s="59"/>
      <c r="S494" s="59"/>
      <c r="T494" s="59"/>
      <c r="U494" s="59"/>
      <c r="V494" s="59"/>
      <c r="W494" s="59"/>
      <c r="X494" s="59"/>
      <c r="Y494" s="59"/>
      <c r="Z494" s="59"/>
      <c r="AA494" s="59"/>
      <c r="AB494" s="59"/>
      <c r="AC494" s="59"/>
      <c r="AD494" s="255"/>
      <c r="AE494" s="256"/>
      <c r="AF494" s="257"/>
      <c r="AG494" s="302">
        <v>0</v>
      </c>
      <c r="AH494" s="303"/>
      <c r="AI494" s="303"/>
      <c r="AJ494" s="303"/>
      <c r="AK494" s="303"/>
      <c r="AL494" s="304"/>
      <c r="AM494" s="10">
        <f>IF(AD494="Yes",1,0)</f>
        <v>0</v>
      </c>
      <c r="AN494" s="4">
        <f>AG197</f>
        <v>0</v>
      </c>
      <c r="AO494" s="157">
        <f t="shared" ref="AO494:AO500" si="119">IF(AD494=0,0,1)</f>
        <v>0</v>
      </c>
      <c r="AP494" s="157">
        <f t="shared" ref="AP494:AP500" si="120">IF(AG494=0,0,1)</f>
        <v>0</v>
      </c>
      <c r="AR494" s="160">
        <f t="shared" ref="AR494" si="121">IF(AND(SUM(AO494:AP494)&gt;0,AO494=0),1,0)</f>
        <v>0</v>
      </c>
      <c r="AS494" s="160">
        <f t="shared" ref="AS494" si="122">IF(AND(SUM(AO494:AP494)&gt;0,AP494=0,AD494="Yes"),1,0)</f>
        <v>0</v>
      </c>
      <c r="AT494" s="8">
        <f>IF(AG494&gt;AN494,1,0)</f>
        <v>0</v>
      </c>
      <c r="AU494" s="109"/>
      <c r="AW494" s="8">
        <f t="shared" ref="AW494:AW509" si="123">IF(AND(AD494="No",AP494&gt;0),1,0)</f>
        <v>0</v>
      </c>
      <c r="AZ494" s="4" t="s">
        <v>498</v>
      </c>
      <c r="BB494" s="109"/>
    </row>
    <row r="495" spans="1:54" s="4" customFormat="1" ht="11.25" x14ac:dyDescent="0.2">
      <c r="A495" s="284"/>
      <c r="B495" s="173">
        <v>2</v>
      </c>
      <c r="C495" s="174" t="s">
        <v>426</v>
      </c>
      <c r="D495" s="174"/>
      <c r="E495" s="174"/>
      <c r="F495" s="174"/>
      <c r="G495" s="174"/>
      <c r="H495" s="174"/>
      <c r="I495" s="174"/>
      <c r="J495" s="174"/>
      <c r="K495" s="174"/>
      <c r="L495" s="174"/>
      <c r="M495" s="174"/>
      <c r="N495" s="174"/>
      <c r="O495" s="174"/>
      <c r="P495" s="174"/>
      <c r="Q495" s="174"/>
      <c r="R495" s="174"/>
      <c r="S495" s="174"/>
      <c r="T495" s="174"/>
      <c r="U495" s="174"/>
      <c r="V495" s="174"/>
      <c r="W495" s="174"/>
      <c r="X495" s="174"/>
      <c r="Y495" s="174"/>
      <c r="Z495" s="174"/>
      <c r="AA495" s="174"/>
      <c r="AB495" s="174"/>
      <c r="AC495" s="174"/>
      <c r="AD495" s="255"/>
      <c r="AE495" s="256"/>
      <c r="AF495" s="257"/>
      <c r="AG495" s="273">
        <v>0</v>
      </c>
      <c r="AH495" s="274"/>
      <c r="AI495" s="274"/>
      <c r="AJ495" s="274"/>
      <c r="AK495" s="274"/>
      <c r="AL495" s="275"/>
      <c r="AM495" s="10">
        <f t="shared" ref="AM495:AM509" si="124">IF(AD495="Yes",1,0)</f>
        <v>0</v>
      </c>
      <c r="AN495" s="4">
        <f>AG182</f>
        <v>0</v>
      </c>
      <c r="AO495" s="157">
        <f t="shared" si="119"/>
        <v>0</v>
      </c>
      <c r="AP495" s="157">
        <f t="shared" si="120"/>
        <v>0</v>
      </c>
      <c r="AR495" s="160">
        <f t="shared" ref="AR495:AR509" si="125">IF(AND(SUM(AO495:AP495)&gt;0,AO495=0),1,0)</f>
        <v>0</v>
      </c>
      <c r="AS495" s="160">
        <f t="shared" ref="AS495:AS509" si="126">IF(AND(SUM(AO495:AP495)&gt;0,AP495=0,AD495="Yes"),1,0)</f>
        <v>0</v>
      </c>
      <c r="AT495" s="8">
        <f t="shared" ref="AT495:AT509" si="127">IF(AG495&gt;AN495,1,0)</f>
        <v>0</v>
      </c>
      <c r="AU495" s="109"/>
      <c r="AW495" s="8">
        <f t="shared" si="123"/>
        <v>0</v>
      </c>
      <c r="AZ495" s="4" t="s">
        <v>445</v>
      </c>
      <c r="BB495" s="109"/>
    </row>
    <row r="496" spans="1:54" s="4" customFormat="1" ht="11.25" x14ac:dyDescent="0.2">
      <c r="A496" s="284"/>
      <c r="B496" s="32">
        <v>3</v>
      </c>
      <c r="C496" s="57" t="s">
        <v>439</v>
      </c>
      <c r="D496" s="57"/>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255"/>
      <c r="AE496" s="256"/>
      <c r="AF496" s="257"/>
      <c r="AG496" s="305">
        <v>0</v>
      </c>
      <c r="AH496" s="306"/>
      <c r="AI496" s="306"/>
      <c r="AJ496" s="306"/>
      <c r="AK496" s="306"/>
      <c r="AL496" s="307"/>
      <c r="AM496" s="10">
        <f t="shared" si="124"/>
        <v>0</v>
      </c>
      <c r="AN496" s="4">
        <f>AG182</f>
        <v>0</v>
      </c>
      <c r="AO496" s="157">
        <f t="shared" si="119"/>
        <v>0</v>
      </c>
      <c r="AP496" s="157">
        <f t="shared" si="120"/>
        <v>0</v>
      </c>
      <c r="AR496" s="160">
        <f t="shared" si="125"/>
        <v>0</v>
      </c>
      <c r="AS496" s="160">
        <f t="shared" si="126"/>
        <v>0</v>
      </c>
      <c r="AT496" s="8">
        <f t="shared" si="127"/>
        <v>0</v>
      </c>
      <c r="AU496" s="109"/>
      <c r="AW496" s="8">
        <f t="shared" si="123"/>
        <v>0</v>
      </c>
      <c r="AZ496" s="4" t="s">
        <v>445</v>
      </c>
      <c r="BB496" s="109"/>
    </row>
    <row r="497" spans="1:72" s="4" customFormat="1" ht="11.25" x14ac:dyDescent="0.2">
      <c r="A497" s="284"/>
      <c r="B497" s="173">
        <v>4</v>
      </c>
      <c r="C497" s="174" t="s">
        <v>427</v>
      </c>
      <c r="D497" s="174"/>
      <c r="E497" s="174"/>
      <c r="F497" s="174"/>
      <c r="G497" s="174"/>
      <c r="H497" s="174"/>
      <c r="I497" s="174"/>
      <c r="J497" s="174"/>
      <c r="K497" s="174"/>
      <c r="L497" s="174"/>
      <c r="M497" s="174"/>
      <c r="N497" s="174"/>
      <c r="O497" s="174"/>
      <c r="P497" s="174"/>
      <c r="Q497" s="174"/>
      <c r="R497" s="174"/>
      <c r="S497" s="174"/>
      <c r="T497" s="174"/>
      <c r="U497" s="174"/>
      <c r="V497" s="174"/>
      <c r="W497" s="174"/>
      <c r="X497" s="174"/>
      <c r="Y497" s="174"/>
      <c r="Z497" s="174"/>
      <c r="AA497" s="174"/>
      <c r="AB497" s="174"/>
      <c r="AC497" s="174"/>
      <c r="AD497" s="255"/>
      <c r="AE497" s="256"/>
      <c r="AF497" s="257"/>
      <c r="AG497" s="273">
        <v>0</v>
      </c>
      <c r="AH497" s="274"/>
      <c r="AI497" s="274"/>
      <c r="AJ497" s="274"/>
      <c r="AK497" s="274"/>
      <c r="AL497" s="275"/>
      <c r="AM497" s="10">
        <f t="shared" si="124"/>
        <v>0</v>
      </c>
      <c r="AN497" s="4">
        <f>MIN(AA158+AA166,AG182)</f>
        <v>0</v>
      </c>
      <c r="AO497" s="157">
        <f t="shared" si="119"/>
        <v>0</v>
      </c>
      <c r="AP497" s="157">
        <f t="shared" si="120"/>
        <v>0</v>
      </c>
      <c r="AR497" s="160">
        <f t="shared" si="125"/>
        <v>0</v>
      </c>
      <c r="AS497" s="160">
        <f t="shared" si="126"/>
        <v>0</v>
      </c>
      <c r="AT497" s="8">
        <f t="shared" si="127"/>
        <v>0</v>
      </c>
      <c r="AU497" s="109"/>
      <c r="AW497" s="8">
        <f t="shared" si="123"/>
        <v>0</v>
      </c>
      <c r="AZ497" s="4" t="s">
        <v>446</v>
      </c>
      <c r="BB497" s="109"/>
    </row>
    <row r="498" spans="1:72" s="4" customFormat="1" ht="11.25" x14ac:dyDescent="0.2">
      <c r="A498" s="284"/>
      <c r="B498" s="173">
        <v>5</v>
      </c>
      <c r="C498" s="174" t="s">
        <v>428</v>
      </c>
      <c r="D498" s="174"/>
      <c r="E498" s="174"/>
      <c r="F498" s="174"/>
      <c r="G498" s="174"/>
      <c r="H498" s="174"/>
      <c r="I498" s="174"/>
      <c r="J498" s="174"/>
      <c r="K498" s="174"/>
      <c r="L498" s="174"/>
      <c r="M498" s="174"/>
      <c r="N498" s="174"/>
      <c r="O498" s="174"/>
      <c r="P498" s="174"/>
      <c r="Q498" s="174"/>
      <c r="R498" s="174"/>
      <c r="S498" s="174"/>
      <c r="T498" s="174"/>
      <c r="U498" s="174"/>
      <c r="V498" s="174"/>
      <c r="W498" s="174"/>
      <c r="X498" s="174"/>
      <c r="Y498" s="174"/>
      <c r="Z498" s="174"/>
      <c r="AA498" s="265" t="str">
        <f>IF(AND(AM477=1,AN498&gt;=0,AD498="Yes"),AG498/AN498,"")</f>
        <v/>
      </c>
      <c r="AB498" s="265"/>
      <c r="AC498" s="266"/>
      <c r="AD498" s="255"/>
      <c r="AE498" s="256"/>
      <c r="AF498" s="257"/>
      <c r="AG498" s="273">
        <v>0</v>
      </c>
      <c r="AH498" s="274"/>
      <c r="AI498" s="274"/>
      <c r="AJ498" s="274"/>
      <c r="AK498" s="274"/>
      <c r="AL498" s="275"/>
      <c r="AM498" s="10">
        <f t="shared" si="124"/>
        <v>0</v>
      </c>
      <c r="AN498" s="4">
        <f>MIN(AA158+AA166,AG182)</f>
        <v>0</v>
      </c>
      <c r="AO498" s="157">
        <f t="shared" si="119"/>
        <v>0</v>
      </c>
      <c r="AP498" s="157">
        <f>IF(AG498=0,0,1)</f>
        <v>0</v>
      </c>
      <c r="AR498" s="160">
        <f t="shared" si="125"/>
        <v>0</v>
      </c>
      <c r="AS498" s="160">
        <f t="shared" si="126"/>
        <v>0</v>
      </c>
      <c r="AT498" s="8">
        <f t="shared" si="127"/>
        <v>0</v>
      </c>
      <c r="AU498" s="109"/>
      <c r="AW498" s="8">
        <f t="shared" si="123"/>
        <v>0</v>
      </c>
      <c r="AZ498" s="4" t="s">
        <v>446</v>
      </c>
      <c r="BB498" s="109"/>
    </row>
    <row r="499" spans="1:72" s="4" customFormat="1" ht="11.25" x14ac:dyDescent="0.2">
      <c r="A499" s="284"/>
      <c r="B499" s="247">
        <v>6</v>
      </c>
      <c r="C499" s="248" t="s">
        <v>540</v>
      </c>
      <c r="D499" s="248"/>
      <c r="E499" s="248"/>
      <c r="F499" s="248"/>
      <c r="G499" s="248"/>
      <c r="H499" s="248"/>
      <c r="I499" s="248"/>
      <c r="J499" s="248"/>
      <c r="K499" s="248"/>
      <c r="L499" s="248"/>
      <c r="M499" s="248"/>
      <c r="N499" s="248"/>
      <c r="O499" s="248"/>
      <c r="P499" s="248"/>
      <c r="Q499" s="248"/>
      <c r="R499" s="248"/>
      <c r="S499" s="248"/>
      <c r="T499" s="248"/>
      <c r="U499" s="248"/>
      <c r="V499" s="248"/>
      <c r="W499" s="248"/>
      <c r="X499" s="248"/>
      <c r="Y499" s="248"/>
      <c r="Z499" s="248"/>
      <c r="AA499" s="249"/>
      <c r="AB499" s="249"/>
      <c r="AC499" s="249"/>
      <c r="AD499" s="255"/>
      <c r="AE499" s="256"/>
      <c r="AF499" s="257"/>
      <c r="AG499" s="273">
        <v>0</v>
      </c>
      <c r="AH499" s="274"/>
      <c r="AI499" s="274"/>
      <c r="AJ499" s="274"/>
      <c r="AK499" s="274"/>
      <c r="AL499" s="275"/>
      <c r="AM499" s="10">
        <f t="shared" si="124"/>
        <v>0</v>
      </c>
      <c r="AO499" s="157">
        <f t="shared" si="119"/>
        <v>0</v>
      </c>
      <c r="AP499" s="157">
        <f>IF(AG499=0,0,1)</f>
        <v>0</v>
      </c>
      <c r="AR499" s="160">
        <f>IF(AND(SUM(AO499:AP499)&gt;0,AO499=0),1,0)</f>
        <v>0</v>
      </c>
      <c r="AS499" s="160">
        <f>IF(AND(SUM(AO499:AP499)&gt;0,AP499=0,AD499="Yes"),1,0)</f>
        <v>0</v>
      </c>
      <c r="AT499" s="8"/>
      <c r="AU499" s="109"/>
      <c r="AW499" s="8">
        <f t="shared" si="123"/>
        <v>0</v>
      </c>
      <c r="BB499" s="109"/>
    </row>
    <row r="500" spans="1:72" s="4" customFormat="1" ht="11.25" x14ac:dyDescent="0.2">
      <c r="A500" s="284"/>
      <c r="B500" s="247">
        <v>7</v>
      </c>
      <c r="C500" s="174" t="s">
        <v>429</v>
      </c>
      <c r="D500" s="174"/>
      <c r="E500" s="174"/>
      <c r="F500" s="174"/>
      <c r="G500" s="174"/>
      <c r="H500" s="174"/>
      <c r="I500" s="174"/>
      <c r="J500" s="174"/>
      <c r="K500" s="174"/>
      <c r="L500" s="174"/>
      <c r="M500" s="174"/>
      <c r="N500" s="174"/>
      <c r="O500" s="174"/>
      <c r="P500" s="174"/>
      <c r="Q500" s="174"/>
      <c r="R500" s="174"/>
      <c r="S500" s="174"/>
      <c r="T500" s="174"/>
      <c r="U500" s="174"/>
      <c r="V500" s="174"/>
      <c r="W500" s="174"/>
      <c r="X500" s="174"/>
      <c r="Y500" s="174"/>
      <c r="Z500" s="174"/>
      <c r="AA500" s="174"/>
      <c r="AB500" s="174"/>
      <c r="AC500" s="174"/>
      <c r="AD500" s="255"/>
      <c r="AE500" s="256"/>
      <c r="AF500" s="257"/>
      <c r="AG500" s="273">
        <v>0</v>
      </c>
      <c r="AH500" s="274"/>
      <c r="AI500" s="274"/>
      <c r="AJ500" s="274"/>
      <c r="AK500" s="274"/>
      <c r="AL500" s="275"/>
      <c r="AM500" s="10">
        <f t="shared" si="124"/>
        <v>0</v>
      </c>
      <c r="AN500" s="4">
        <f>AA158</f>
        <v>0</v>
      </c>
      <c r="AO500" s="157">
        <f t="shared" si="119"/>
        <v>0</v>
      </c>
      <c r="AP500" s="157">
        <f t="shared" si="120"/>
        <v>0</v>
      </c>
      <c r="AQ500" s="109"/>
      <c r="AR500" s="160">
        <f t="shared" si="125"/>
        <v>0</v>
      </c>
      <c r="AS500" s="160">
        <f t="shared" si="126"/>
        <v>0</v>
      </c>
      <c r="AT500" s="8">
        <f t="shared" si="127"/>
        <v>0</v>
      </c>
      <c r="AU500" s="109"/>
      <c r="AW500" s="8">
        <f t="shared" si="123"/>
        <v>0</v>
      </c>
      <c r="AZ500" s="4" t="s">
        <v>499</v>
      </c>
      <c r="BB500" s="109"/>
    </row>
    <row r="501" spans="1:72" s="4" customFormat="1" ht="11.25" x14ac:dyDescent="0.2">
      <c r="A501" s="284"/>
      <c r="B501" s="247">
        <v>8</v>
      </c>
      <c r="C501" s="174" t="s">
        <v>430</v>
      </c>
      <c r="D501" s="174"/>
      <c r="E501" s="174"/>
      <c r="F501" s="174"/>
      <c r="G501" s="174"/>
      <c r="H501" s="174"/>
      <c r="I501" s="174"/>
      <c r="J501" s="174"/>
      <c r="K501" s="174"/>
      <c r="L501" s="174"/>
      <c r="M501" s="174"/>
      <c r="N501" s="174"/>
      <c r="O501" s="174"/>
      <c r="P501" s="174"/>
      <c r="Q501" s="174"/>
      <c r="R501" s="174"/>
      <c r="S501" s="174"/>
      <c r="T501" s="174"/>
      <c r="U501" s="174"/>
      <c r="V501" s="174"/>
      <c r="W501" s="174"/>
      <c r="X501" s="174"/>
      <c r="Y501" s="174"/>
      <c r="Z501" s="174"/>
      <c r="AA501" s="174"/>
      <c r="AB501" s="174"/>
      <c r="AC501" s="174"/>
      <c r="AD501" s="255"/>
      <c r="AE501" s="256"/>
      <c r="AF501" s="257"/>
      <c r="AG501" s="273">
        <v>0</v>
      </c>
      <c r="AH501" s="274"/>
      <c r="AI501" s="274"/>
      <c r="AJ501" s="274"/>
      <c r="AK501" s="274"/>
      <c r="AL501" s="275"/>
      <c r="AM501" s="10">
        <f t="shared" si="124"/>
        <v>0</v>
      </c>
      <c r="AN501" s="4">
        <f>AA159</f>
        <v>0</v>
      </c>
      <c r="AO501" s="157">
        <f t="shared" ref="AO501:AO509" si="128">IF(AD501=0,0,1)</f>
        <v>0</v>
      </c>
      <c r="AP501" s="157">
        <f t="shared" ref="AP501:AP509" si="129">IF(AG501=0,0,1)</f>
        <v>0</v>
      </c>
      <c r="AQ501" s="109"/>
      <c r="AR501" s="160">
        <f t="shared" si="125"/>
        <v>0</v>
      </c>
      <c r="AS501" s="160">
        <f t="shared" si="126"/>
        <v>0</v>
      </c>
      <c r="AT501" s="8">
        <f t="shared" si="127"/>
        <v>0</v>
      </c>
      <c r="AU501" s="109"/>
      <c r="AW501" s="8">
        <f t="shared" si="123"/>
        <v>0</v>
      </c>
      <c r="AZ501" s="4" t="s">
        <v>500</v>
      </c>
      <c r="BB501" s="109"/>
    </row>
    <row r="502" spans="1:72" s="4" customFormat="1" ht="11.25" x14ac:dyDescent="0.2">
      <c r="A502" s="284"/>
      <c r="B502" s="247">
        <v>9</v>
      </c>
      <c r="C502" s="174" t="s">
        <v>431</v>
      </c>
      <c r="D502" s="174"/>
      <c r="E502" s="174"/>
      <c r="F502" s="174"/>
      <c r="G502" s="174"/>
      <c r="H502" s="174"/>
      <c r="I502" s="174"/>
      <c r="J502" s="174"/>
      <c r="K502" s="174"/>
      <c r="L502" s="174"/>
      <c r="M502" s="174"/>
      <c r="N502" s="174"/>
      <c r="O502" s="174"/>
      <c r="P502" s="174"/>
      <c r="Q502" s="174"/>
      <c r="R502" s="174"/>
      <c r="S502" s="174"/>
      <c r="T502" s="174"/>
      <c r="U502" s="174"/>
      <c r="V502" s="174"/>
      <c r="W502" s="174"/>
      <c r="X502" s="174"/>
      <c r="Y502" s="174"/>
      <c r="Z502" s="174"/>
      <c r="AA502" s="174"/>
      <c r="AB502" s="174"/>
      <c r="AC502" s="174"/>
      <c r="AD502" s="255"/>
      <c r="AE502" s="256"/>
      <c r="AF502" s="257"/>
      <c r="AG502" s="273">
        <v>0</v>
      </c>
      <c r="AH502" s="274"/>
      <c r="AI502" s="274"/>
      <c r="AJ502" s="274"/>
      <c r="AK502" s="274"/>
      <c r="AL502" s="275"/>
      <c r="AM502" s="10">
        <f t="shared" si="124"/>
        <v>0</v>
      </c>
      <c r="AN502" s="4">
        <f>AA164</f>
        <v>0</v>
      </c>
      <c r="AO502" s="157">
        <f t="shared" si="128"/>
        <v>0</v>
      </c>
      <c r="AP502" s="157">
        <f t="shared" si="129"/>
        <v>0</v>
      </c>
      <c r="AQ502" s="109"/>
      <c r="AR502" s="160">
        <f t="shared" si="125"/>
        <v>0</v>
      </c>
      <c r="AS502" s="160">
        <f t="shared" si="126"/>
        <v>0</v>
      </c>
      <c r="AT502" s="8">
        <f t="shared" si="127"/>
        <v>0</v>
      </c>
      <c r="AU502" s="109"/>
      <c r="AW502" s="8">
        <f t="shared" si="123"/>
        <v>0</v>
      </c>
      <c r="AZ502" s="4" t="s">
        <v>501</v>
      </c>
      <c r="BB502" s="109"/>
    </row>
    <row r="503" spans="1:72" s="4" customFormat="1" ht="11.25" x14ac:dyDescent="0.2">
      <c r="A503" s="284"/>
      <c r="B503" s="247">
        <v>10</v>
      </c>
      <c r="C503" s="174" t="s">
        <v>432</v>
      </c>
      <c r="D503" s="174"/>
      <c r="E503" s="174"/>
      <c r="F503" s="174"/>
      <c r="G503" s="174"/>
      <c r="H503" s="174"/>
      <c r="I503" s="174"/>
      <c r="J503" s="174"/>
      <c r="K503" s="174"/>
      <c r="L503" s="174"/>
      <c r="M503" s="174"/>
      <c r="N503" s="174"/>
      <c r="O503" s="174"/>
      <c r="P503" s="174"/>
      <c r="Q503" s="174"/>
      <c r="R503" s="174"/>
      <c r="S503" s="174"/>
      <c r="T503" s="174"/>
      <c r="U503" s="174"/>
      <c r="V503" s="174"/>
      <c r="W503" s="174"/>
      <c r="X503" s="174"/>
      <c r="Y503" s="174"/>
      <c r="Z503" s="174"/>
      <c r="AA503" s="174"/>
      <c r="AB503" s="174"/>
      <c r="AC503" s="174"/>
      <c r="AD503" s="255"/>
      <c r="AE503" s="256"/>
      <c r="AF503" s="257"/>
      <c r="AG503" s="273">
        <v>0</v>
      </c>
      <c r="AH503" s="274"/>
      <c r="AI503" s="274"/>
      <c r="AJ503" s="274"/>
      <c r="AK503" s="274"/>
      <c r="AL503" s="275"/>
      <c r="AM503" s="10">
        <f t="shared" si="124"/>
        <v>0</v>
      </c>
      <c r="AN503" s="4">
        <f>MIN(AA158+AA166,AG182)</f>
        <v>0</v>
      </c>
      <c r="AO503" s="157">
        <f t="shared" si="128"/>
        <v>0</v>
      </c>
      <c r="AP503" s="157">
        <f t="shared" si="129"/>
        <v>0</v>
      </c>
      <c r="AQ503" s="109"/>
      <c r="AR503" s="160">
        <f t="shared" si="125"/>
        <v>0</v>
      </c>
      <c r="AS503" s="160">
        <f t="shared" si="126"/>
        <v>0</v>
      </c>
      <c r="AT503" s="8">
        <f t="shared" si="127"/>
        <v>0</v>
      </c>
      <c r="AU503" s="109"/>
      <c r="AV503" s="4">
        <f>IF(AND(AD503="Yes",AD504="No",AD506="No"),1,0)</f>
        <v>0</v>
      </c>
      <c r="AW503" s="8">
        <f t="shared" si="123"/>
        <v>0</v>
      </c>
      <c r="AZ503" s="4" t="s">
        <v>446</v>
      </c>
      <c r="BB503" s="109"/>
    </row>
    <row r="504" spans="1:72" s="4" customFormat="1" ht="11.25" x14ac:dyDescent="0.2">
      <c r="A504" s="284"/>
      <c r="B504" s="173"/>
      <c r="C504" s="188" t="s">
        <v>52</v>
      </c>
      <c r="D504" s="174" t="s">
        <v>433</v>
      </c>
      <c r="E504" s="174"/>
      <c r="F504" s="174"/>
      <c r="G504" s="174"/>
      <c r="H504" s="174"/>
      <c r="I504" s="174"/>
      <c r="J504" s="174"/>
      <c r="K504" s="174"/>
      <c r="L504" s="174"/>
      <c r="M504" s="174"/>
      <c r="N504" s="174"/>
      <c r="O504" s="174"/>
      <c r="P504" s="174"/>
      <c r="Q504" s="174"/>
      <c r="R504" s="174"/>
      <c r="S504" s="174"/>
      <c r="T504" s="174"/>
      <c r="U504" s="174"/>
      <c r="V504" s="174"/>
      <c r="W504" s="174"/>
      <c r="X504" s="174"/>
      <c r="Y504" s="174"/>
      <c r="Z504" s="174"/>
      <c r="AA504" s="174"/>
      <c r="AB504" s="174"/>
      <c r="AC504" s="174"/>
      <c r="AD504" s="255"/>
      <c r="AE504" s="256"/>
      <c r="AF504" s="257"/>
      <c r="AG504" s="273">
        <v>0</v>
      </c>
      <c r="AH504" s="274"/>
      <c r="AI504" s="274"/>
      <c r="AJ504" s="274"/>
      <c r="AK504" s="274"/>
      <c r="AL504" s="275"/>
      <c r="AM504" s="10">
        <f t="shared" si="124"/>
        <v>0</v>
      </c>
      <c r="AN504" s="4">
        <f>AG503</f>
        <v>0</v>
      </c>
      <c r="AO504" s="157">
        <f t="shared" si="128"/>
        <v>0</v>
      </c>
      <c r="AP504" s="157">
        <f t="shared" si="129"/>
        <v>0</v>
      </c>
      <c r="AQ504" s="109"/>
      <c r="AR504" s="160">
        <f t="shared" si="125"/>
        <v>0</v>
      </c>
      <c r="AS504" s="160">
        <f t="shared" si="126"/>
        <v>0</v>
      </c>
      <c r="AT504" s="8">
        <f t="shared" si="127"/>
        <v>0</v>
      </c>
      <c r="AW504" s="8">
        <f t="shared" si="123"/>
        <v>0</v>
      </c>
      <c r="AX504" s="4">
        <f>IF(AND(AD503="No",AD504="Yes"),1,0)</f>
        <v>0</v>
      </c>
      <c r="AZ504" s="4" t="s">
        <v>441</v>
      </c>
      <c r="BB504" s="4" t="s">
        <v>442</v>
      </c>
    </row>
    <row r="505" spans="1:72" s="4" customFormat="1" ht="11.25" x14ac:dyDescent="0.2">
      <c r="A505" s="284"/>
      <c r="B505" s="173"/>
      <c r="C505" s="188" t="s">
        <v>53</v>
      </c>
      <c r="D505" s="174" t="s">
        <v>434</v>
      </c>
      <c r="E505" s="174"/>
      <c r="F505" s="174"/>
      <c r="G505" s="174"/>
      <c r="H505" s="174"/>
      <c r="I505" s="174"/>
      <c r="J505" s="174"/>
      <c r="K505" s="174"/>
      <c r="L505" s="174"/>
      <c r="M505" s="174"/>
      <c r="N505" s="174"/>
      <c r="O505" s="174"/>
      <c r="P505" s="174"/>
      <c r="Q505" s="174"/>
      <c r="R505" s="174"/>
      <c r="S505" s="174"/>
      <c r="T505" s="174"/>
      <c r="U505" s="174"/>
      <c r="V505" s="174"/>
      <c r="W505" s="174"/>
      <c r="X505" s="174"/>
      <c r="Y505" s="174"/>
      <c r="Z505" s="174"/>
      <c r="AA505" s="174"/>
      <c r="AB505" s="174"/>
      <c r="AC505" s="174"/>
      <c r="AD505" s="255"/>
      <c r="AE505" s="256"/>
      <c r="AF505" s="257"/>
      <c r="AG505" s="273">
        <v>0</v>
      </c>
      <c r="AH505" s="274"/>
      <c r="AI505" s="274"/>
      <c r="AJ505" s="274"/>
      <c r="AK505" s="274"/>
      <c r="AL505" s="275"/>
      <c r="AM505" s="10">
        <f t="shared" si="124"/>
        <v>0</v>
      </c>
      <c r="AN505" s="4">
        <f>AG504</f>
        <v>0</v>
      </c>
      <c r="AO505" s="157">
        <f t="shared" si="128"/>
        <v>0</v>
      </c>
      <c r="AP505" s="157">
        <f t="shared" si="129"/>
        <v>0</v>
      </c>
      <c r="AQ505" s="109"/>
      <c r="AR505" s="160">
        <f t="shared" si="125"/>
        <v>0</v>
      </c>
      <c r="AS505" s="160">
        <f t="shared" si="126"/>
        <v>0</v>
      </c>
      <c r="AT505" s="8">
        <f t="shared" si="127"/>
        <v>0</v>
      </c>
      <c r="AW505" s="8">
        <f t="shared" si="123"/>
        <v>0</v>
      </c>
      <c r="AY505" s="4">
        <f>IF(AND(AD504="No",AD505="Yes"),1,0)</f>
        <v>0</v>
      </c>
      <c r="AZ505" s="4" t="s">
        <v>441</v>
      </c>
      <c r="BB505" s="4" t="s">
        <v>443</v>
      </c>
    </row>
    <row r="506" spans="1:72" s="4" customFormat="1" ht="11.25" x14ac:dyDescent="0.2">
      <c r="A506" s="284"/>
      <c r="B506" s="173"/>
      <c r="C506" s="188" t="s">
        <v>54</v>
      </c>
      <c r="D506" s="174" t="s">
        <v>435</v>
      </c>
      <c r="E506" s="174"/>
      <c r="F506" s="174"/>
      <c r="G506" s="174"/>
      <c r="H506" s="174"/>
      <c r="I506" s="174"/>
      <c r="J506" s="174"/>
      <c r="K506" s="174"/>
      <c r="L506" s="174"/>
      <c r="M506" s="174"/>
      <c r="N506" s="174"/>
      <c r="O506" s="174"/>
      <c r="P506" s="174"/>
      <c r="Q506" s="174"/>
      <c r="R506" s="174"/>
      <c r="S506" s="174"/>
      <c r="T506" s="174"/>
      <c r="U506" s="174"/>
      <c r="V506" s="174"/>
      <c r="W506" s="174"/>
      <c r="X506" s="174"/>
      <c r="Y506" s="174"/>
      <c r="Z506" s="174"/>
      <c r="AA506" s="174"/>
      <c r="AB506" s="174"/>
      <c r="AC506" s="174"/>
      <c r="AD506" s="255"/>
      <c r="AE506" s="256"/>
      <c r="AF506" s="257"/>
      <c r="AG506" s="273">
        <v>0</v>
      </c>
      <c r="AH506" s="274"/>
      <c r="AI506" s="274"/>
      <c r="AJ506" s="274"/>
      <c r="AK506" s="274"/>
      <c r="AL506" s="275"/>
      <c r="AM506" s="10">
        <f t="shared" si="124"/>
        <v>0</v>
      </c>
      <c r="AN506" s="4">
        <f>AG503</f>
        <v>0</v>
      </c>
      <c r="AO506" s="157">
        <f t="shared" si="128"/>
        <v>0</v>
      </c>
      <c r="AP506" s="157">
        <f t="shared" si="129"/>
        <v>0</v>
      </c>
      <c r="AQ506" s="109"/>
      <c r="AR506" s="160">
        <f t="shared" si="125"/>
        <v>0</v>
      </c>
      <c r="AS506" s="160">
        <f t="shared" si="126"/>
        <v>0</v>
      </c>
      <c r="AT506" s="8">
        <f t="shared" si="127"/>
        <v>0</v>
      </c>
      <c r="AU506" s="109"/>
      <c r="AW506" s="8">
        <f t="shared" si="123"/>
        <v>0</v>
      </c>
      <c r="AX506" s="4">
        <f>IF(AND(AD503="No",AD506="Yes"),1,0)</f>
        <v>0</v>
      </c>
      <c r="AZ506" s="4" t="s">
        <v>441</v>
      </c>
      <c r="BB506" s="4" t="s">
        <v>442</v>
      </c>
      <c r="BC506" s="109"/>
      <c r="BD506" s="109"/>
      <c r="BE506" s="109"/>
      <c r="BF506" s="109"/>
      <c r="BG506" s="109"/>
      <c r="BH506" s="109"/>
      <c r="BI506" s="109"/>
      <c r="BJ506" s="109"/>
      <c r="BK506" s="109"/>
      <c r="BL506" s="109"/>
      <c r="BM506" s="109"/>
      <c r="BN506" s="109"/>
      <c r="BO506" s="109"/>
      <c r="BP506" s="109"/>
      <c r="BQ506" s="109"/>
      <c r="BR506" s="109"/>
      <c r="BS506" s="109"/>
      <c r="BT506" s="109"/>
    </row>
    <row r="507" spans="1:72" s="4" customFormat="1" ht="11.25" x14ac:dyDescent="0.2">
      <c r="A507" s="284"/>
      <c r="B507" s="173"/>
      <c r="C507" s="188" t="s">
        <v>57</v>
      </c>
      <c r="D507" s="174" t="s">
        <v>436</v>
      </c>
      <c r="E507" s="174"/>
      <c r="F507" s="174"/>
      <c r="G507" s="174"/>
      <c r="H507" s="174"/>
      <c r="I507" s="174"/>
      <c r="J507" s="174"/>
      <c r="K507" s="174"/>
      <c r="L507" s="174"/>
      <c r="M507" s="174"/>
      <c r="N507" s="174"/>
      <c r="O507" s="174"/>
      <c r="P507" s="174"/>
      <c r="Q507" s="174"/>
      <c r="R507" s="174"/>
      <c r="S507" s="174"/>
      <c r="T507" s="174"/>
      <c r="U507" s="174"/>
      <c r="V507" s="174"/>
      <c r="W507" s="174"/>
      <c r="X507" s="174"/>
      <c r="Y507" s="174"/>
      <c r="Z507" s="174"/>
      <c r="AA507" s="174"/>
      <c r="AB507" s="174"/>
      <c r="AC507" s="174"/>
      <c r="AD507" s="255"/>
      <c r="AE507" s="256"/>
      <c r="AF507" s="257"/>
      <c r="AG507" s="273">
        <v>0</v>
      </c>
      <c r="AH507" s="274"/>
      <c r="AI507" s="274"/>
      <c r="AJ507" s="274"/>
      <c r="AK507" s="274"/>
      <c r="AL507" s="275"/>
      <c r="AM507" s="10">
        <f t="shared" si="124"/>
        <v>0</v>
      </c>
      <c r="AN507" s="4">
        <f>AG506</f>
        <v>0</v>
      </c>
      <c r="AO507" s="157">
        <f t="shared" si="128"/>
        <v>0</v>
      </c>
      <c r="AP507" s="157">
        <f t="shared" si="129"/>
        <v>0</v>
      </c>
      <c r="AQ507" s="109"/>
      <c r="AR507" s="160">
        <f t="shared" si="125"/>
        <v>0</v>
      </c>
      <c r="AS507" s="160">
        <f t="shared" si="126"/>
        <v>0</v>
      </c>
      <c r="AT507" s="8">
        <f t="shared" si="127"/>
        <v>0</v>
      </c>
      <c r="AU507" s="109"/>
      <c r="AW507" s="8">
        <f t="shared" si="123"/>
        <v>0</v>
      </c>
      <c r="AY507" s="4">
        <f>IF(AND(AD506="No",AD507="Yes"),1,0)</f>
        <v>0</v>
      </c>
      <c r="AZ507" s="4" t="s">
        <v>441</v>
      </c>
      <c r="BB507" s="4" t="s">
        <v>444</v>
      </c>
    </row>
    <row r="508" spans="1:72" s="4" customFormat="1" ht="11.25" x14ac:dyDescent="0.2">
      <c r="A508" s="284"/>
      <c r="B508" s="173"/>
      <c r="C508" s="188" t="s">
        <v>343</v>
      </c>
      <c r="D508" s="174" t="s">
        <v>437</v>
      </c>
      <c r="E508" s="174"/>
      <c r="F508" s="174"/>
      <c r="G508" s="174"/>
      <c r="H508" s="174"/>
      <c r="I508" s="174"/>
      <c r="J508" s="174"/>
      <c r="K508" s="174"/>
      <c r="L508" s="174"/>
      <c r="M508" s="174"/>
      <c r="N508" s="174"/>
      <c r="O508" s="174"/>
      <c r="P508" s="174"/>
      <c r="Q508" s="174"/>
      <c r="R508" s="174"/>
      <c r="S508" s="174"/>
      <c r="T508" s="174"/>
      <c r="U508" s="174"/>
      <c r="V508" s="174"/>
      <c r="W508" s="174"/>
      <c r="X508" s="174"/>
      <c r="Y508" s="174"/>
      <c r="Z508" s="174"/>
      <c r="AA508" s="174"/>
      <c r="AB508" s="174"/>
      <c r="AC508" s="174"/>
      <c r="AD508" s="255"/>
      <c r="AE508" s="256"/>
      <c r="AF508" s="257"/>
      <c r="AG508" s="273">
        <v>0</v>
      </c>
      <c r="AH508" s="274"/>
      <c r="AI508" s="274"/>
      <c r="AJ508" s="274"/>
      <c r="AK508" s="274"/>
      <c r="AL508" s="275"/>
      <c r="AM508" s="10">
        <f t="shared" si="124"/>
        <v>0</v>
      </c>
      <c r="AN508" s="4">
        <f>AG503</f>
        <v>0</v>
      </c>
      <c r="AO508" s="157">
        <f t="shared" si="128"/>
        <v>0</v>
      </c>
      <c r="AP508" s="157">
        <f t="shared" si="129"/>
        <v>0</v>
      </c>
      <c r="AQ508" s="161"/>
      <c r="AR508" s="160">
        <f t="shared" si="125"/>
        <v>0</v>
      </c>
      <c r="AS508" s="160">
        <f t="shared" si="126"/>
        <v>0</v>
      </c>
      <c r="AT508" s="8">
        <f t="shared" si="127"/>
        <v>0</v>
      </c>
      <c r="AU508" s="161"/>
      <c r="AW508" s="8">
        <f t="shared" si="123"/>
        <v>0</v>
      </c>
      <c r="AX508" s="4">
        <f>IF(AND(AD503="No",AD508="Yes"),1,0)</f>
        <v>0</v>
      </c>
      <c r="AZ508" s="4" t="s">
        <v>441</v>
      </c>
      <c r="BB508" s="4" t="s">
        <v>442</v>
      </c>
      <c r="BC508" s="161"/>
      <c r="BD508" s="161"/>
    </row>
    <row r="509" spans="1:72" s="4" customFormat="1" ht="11.25" x14ac:dyDescent="0.2">
      <c r="A509" s="284"/>
      <c r="B509" s="36"/>
      <c r="C509" s="130" t="s">
        <v>344</v>
      </c>
      <c r="D509" s="174" t="s">
        <v>438</v>
      </c>
      <c r="E509" s="59"/>
      <c r="F509" s="59"/>
      <c r="G509" s="59"/>
      <c r="H509" s="59"/>
      <c r="I509" s="59"/>
      <c r="J509" s="59"/>
      <c r="K509" s="59"/>
      <c r="L509" s="59"/>
      <c r="M509" s="59"/>
      <c r="N509" s="59"/>
      <c r="O509" s="59"/>
      <c r="P509" s="59"/>
      <c r="Q509" s="59"/>
      <c r="R509" s="59"/>
      <c r="S509" s="59"/>
      <c r="T509" s="59"/>
      <c r="U509" s="59"/>
      <c r="V509" s="59"/>
      <c r="W509" s="59"/>
      <c r="X509" s="59"/>
      <c r="Y509" s="59"/>
      <c r="Z509" s="59"/>
      <c r="AA509" s="59"/>
      <c r="AB509" s="59"/>
      <c r="AC509" s="59"/>
      <c r="AD509" s="255"/>
      <c r="AE509" s="256"/>
      <c r="AF509" s="257"/>
      <c r="AG509" s="273">
        <v>0</v>
      </c>
      <c r="AH509" s="274"/>
      <c r="AI509" s="274"/>
      <c r="AJ509" s="274"/>
      <c r="AK509" s="274"/>
      <c r="AL509" s="275"/>
      <c r="AM509" s="10">
        <f t="shared" si="124"/>
        <v>0</v>
      </c>
      <c r="AN509" s="4">
        <f>AG503</f>
        <v>0</v>
      </c>
      <c r="AO509" s="157">
        <f t="shared" si="128"/>
        <v>0</v>
      </c>
      <c r="AP509" s="157">
        <f t="shared" si="129"/>
        <v>0</v>
      </c>
      <c r="AQ509" s="109"/>
      <c r="AR509" s="160">
        <f t="shared" si="125"/>
        <v>0</v>
      </c>
      <c r="AS509" s="160">
        <f t="shared" si="126"/>
        <v>0</v>
      </c>
      <c r="AT509" s="8">
        <f t="shared" si="127"/>
        <v>0</v>
      </c>
      <c r="AW509" s="8">
        <f t="shared" si="123"/>
        <v>0</v>
      </c>
      <c r="AX509" s="4">
        <f>IF(AND(AD503="No",AD509="Yes"),1,0)</f>
        <v>0</v>
      </c>
      <c r="AZ509" s="4" t="s">
        <v>441</v>
      </c>
      <c r="BB509" s="4" t="s">
        <v>442</v>
      </c>
    </row>
    <row r="510" spans="1:72" ht="12.75" x14ac:dyDescent="0.2">
      <c r="B510" s="258" t="str">
        <f>IF(BB487=1,"Error. If this is a semi-annual report, this section should be blank.",IF(NOT(AND(A41="Looking good! Proceed to Part 1.",A121="",A153="Looking good! Proceed to Part 2.",A201="Looking good! Proceed to Part 3.",A240="",A270="Looking good! Proceed to Part 4.",A305="Looking good! Proceed to Part 5: TBRA Outcomes.",B355="Looking good! Proceed to Part 5: STRMU Outcomes.",B402="Looking good! Proceed to Part 5: FBHA Outcomes.",B449="Looking good! Proceed to Part 5: PHP Outcomes.",B475="Looking good! Proceed to Part 5: Access to Care Outcomes.")),"",IF(BB486=1,"",IF(AX477=1,"You've entered outcome data, but your housing assistance household output was 0. Please resolve this discrepancy.",IF(SUM(AW477:AW482)&gt;0,"Error. You've indicated this is not applicable, but you've entered outcome data. Please resolve this discrepancy.",IF(SUM(AT477:AT482)&gt;0,CONCATENATE("Error. Number of households cannot exceed ",AN477,"."),IF(AND(AM477=1,MIN(AO477:AO482)=0),"Select whether each access to care outcome is applicable.",IF(AND(AM477=1,SUM(AS477:AS482)&gt;0),"Enter the number of households that achieved access to care goals.",IF(AZ477=1,CONCATENATE("Error. At least ",AT485," TBRA households, ",AT486," STRMU households, ",AT487," FBHA households, and ",AT488," PHP households had medical insurance and/or assistance (minimum must be ",AT489,")."),IF(AY477=1,CONCATENATE("Error. At least ",AS485," TBRA households, ",AS486," STRMU households, ",AS487," FBHA households, and ",AS488," PHP households had income (minimum must be ",AS489,")."),IF(AY479=1,CONCATENATE("Error. At least ",AU485," TBRA households, ",AU486," STRMU households, ",AU487," FBHA households, and ",AU488," PHP households had earned income from employment (minimum must be ",AU489,")."),IF(AND(SUM(BA477:BA481)&gt;0,C485=""),"HUD has set a national goal of at least 80 percent for each outcome measure in Rows 1-5. If any outcome measures did not reach 80 percent, briefly describe why.",IF(SUM(AW494:AW509)&gt;0,"Error. You've indicated this is not applicable, but you've entered outcome data. Please resolve this discrepancy.",IF(SUM(AT494:AT509)&gt;0,"Error. Number of households is too high.",IF(MIN(AO494:AO509)=0,"Select whether each additional reporting element is applicable.",IF(SUM(AX494:AX509)&gt;0,"Error. If requests were not applicable, then this must be ""no"".",IF(SUM(AY494:AY509)&gt;0,"Error. If this type of request was not applicable, then this must be ""no"".",IF(AV503&gt;0,"Error. If requests were applicable, then either internal or external must be ""yes"".",IF(SUM(AS494:AS509)&gt;0,"Enter the number of households that met the criteria for these additional reporting elements.","Looking good! Proceed to Part 6: Facility-Based Housing Assistance.")))))))))))))))))))</f>
        <v/>
      </c>
      <c r="C510" s="258"/>
      <c r="D510" s="258"/>
      <c r="E510" s="258"/>
      <c r="F510" s="258"/>
      <c r="G510" s="258"/>
      <c r="H510" s="258"/>
      <c r="I510" s="258"/>
      <c r="J510" s="258"/>
      <c r="K510" s="258"/>
      <c r="L510" s="258"/>
      <c r="M510" s="258"/>
      <c r="N510" s="258"/>
      <c r="O510" s="258"/>
      <c r="P510" s="258"/>
      <c r="Q510" s="258"/>
      <c r="R510" s="258"/>
      <c r="S510" s="258"/>
      <c r="T510" s="258"/>
      <c r="U510" s="258"/>
      <c r="V510" s="258"/>
      <c r="W510" s="258"/>
      <c r="X510" s="258"/>
      <c r="Y510" s="258"/>
      <c r="Z510" s="258"/>
      <c r="AA510" s="258"/>
      <c r="AB510" s="258"/>
      <c r="AC510" s="258"/>
      <c r="AD510" s="258"/>
      <c r="AE510" s="258"/>
      <c r="AF510" s="258"/>
      <c r="AG510" s="258"/>
      <c r="AH510" s="258"/>
      <c r="AI510" s="258"/>
      <c r="AJ510" s="258"/>
      <c r="AK510" s="258"/>
      <c r="AL510" s="258"/>
      <c r="AM510" s="152"/>
      <c r="AN510" s="152"/>
      <c r="AO510" s="152"/>
      <c r="AP510" s="152"/>
      <c r="AQ510" s="152"/>
      <c r="AR510" s="250">
        <f>IF(BB486=1,1,IF(AM477=0,1,IF(AND(AM477=1,B510="Looking good! Proceed to Part 6: Facility-Based Housing Assistance.",SUM(AO477:AP482)&gt;0,SUM(AR477:AS482)=0,SUM(AT477:AZ482)=0),1,0)))</f>
        <v>1</v>
      </c>
      <c r="AS510" s="250">
        <f>IF(BB486=1,1,IF(SUM(AM494:AM509)=0,1,IF(AND(SUM(AM494:AM509)&gt;0,B510="Looking good! Proceed to Part 6: Facility-Based Housing Assistance.",SUM(AO494:AP509)&gt;0,SUM(AR494:AS509)=0,SUM(AT494:AY509)=0),1,0)))</f>
        <v>1</v>
      </c>
      <c r="AT510" s="53" t="s">
        <v>365</v>
      </c>
      <c r="AU510" s="212">
        <f>IF(SUM(AR510:AS510)=2,1,0)</f>
        <v>1</v>
      </c>
      <c r="AW510" s="152"/>
      <c r="AX510" s="152"/>
      <c r="AY510" s="152"/>
      <c r="AZ510" s="152"/>
      <c r="BA510" s="152"/>
      <c r="BC510" s="152"/>
      <c r="BD510" s="152"/>
    </row>
    <row r="511" spans="1:72" s="2" customFormat="1" ht="15.75" x14ac:dyDescent="0.25">
      <c r="A511" s="19" t="s">
        <v>271</v>
      </c>
      <c r="B511" s="19"/>
      <c r="C511" s="11" t="s">
        <v>360</v>
      </c>
      <c r="S511" s="166" t="str">
        <f>IF($AQ$23=1,"- Not applicable -","")</f>
        <v/>
      </c>
      <c r="AM511" s="4"/>
      <c r="BB511" s="10"/>
      <c r="BH511" s="49"/>
      <c r="BI511" s="49"/>
      <c r="BJ511" s="49"/>
      <c r="BK511" s="49"/>
    </row>
    <row r="512" spans="1:72" s="4" customFormat="1" ht="11.25" x14ac:dyDescent="0.2">
      <c r="A512" s="310" t="str">
        <f>B403</f>
        <v>FBHA Household Output: 0</v>
      </c>
      <c r="B512" s="56" t="s">
        <v>189</v>
      </c>
      <c r="C512" s="74"/>
      <c r="D512" s="74"/>
      <c r="E512" s="74"/>
      <c r="F512" s="74"/>
      <c r="G512" s="74"/>
      <c r="H512" s="74"/>
      <c r="I512" s="74"/>
      <c r="J512" s="74"/>
      <c r="K512" s="74"/>
      <c r="L512" s="74"/>
      <c r="M512" s="74"/>
      <c r="N512" s="74"/>
      <c r="O512" s="28"/>
      <c r="P512" s="80"/>
      <c r="Q512" s="123" t="s">
        <v>305</v>
      </c>
      <c r="R512" s="28"/>
      <c r="S512" s="80"/>
      <c r="T512" s="123" t="s">
        <v>306</v>
      </c>
      <c r="U512" s="28"/>
      <c r="V512" s="80"/>
      <c r="W512" s="123" t="s">
        <v>307</v>
      </c>
      <c r="X512" s="28"/>
      <c r="Y512" s="80"/>
      <c r="Z512" s="123" t="s">
        <v>308</v>
      </c>
      <c r="AA512" s="28"/>
      <c r="AB512" s="80"/>
      <c r="AC512" s="123" t="s">
        <v>309</v>
      </c>
      <c r="AD512" s="28"/>
      <c r="AE512" s="80"/>
      <c r="AF512" s="123" t="s">
        <v>310</v>
      </c>
      <c r="AG512" s="28"/>
      <c r="AH512" s="223"/>
      <c r="AI512" s="123" t="s">
        <v>311</v>
      </c>
      <c r="AJ512" s="28"/>
      <c r="AK512" s="223"/>
      <c r="AL512" s="124" t="s">
        <v>312</v>
      </c>
      <c r="AM512" s="4" t="s">
        <v>375</v>
      </c>
      <c r="AN512" s="53"/>
      <c r="AO512" s="53"/>
      <c r="AP512" s="53"/>
      <c r="AQ512" s="53"/>
      <c r="AR512" s="53"/>
      <c r="AS512" s="53"/>
      <c r="AT512" s="53" t="s">
        <v>470</v>
      </c>
      <c r="AU512" s="53"/>
      <c r="BB512" s="53" t="s">
        <v>471</v>
      </c>
    </row>
    <row r="513" spans="1:54" s="4" customFormat="1" ht="11.25" x14ac:dyDescent="0.2">
      <c r="A513" s="311"/>
      <c r="B513" s="79" t="s">
        <v>273</v>
      </c>
      <c r="C513" s="23"/>
      <c r="D513" s="23"/>
      <c r="E513" s="23"/>
      <c r="F513" s="23"/>
      <c r="G513" s="23"/>
      <c r="H513" s="23"/>
      <c r="I513" s="23"/>
      <c r="J513" s="23"/>
      <c r="K513" s="23"/>
      <c r="L513" s="23"/>
      <c r="M513" s="23"/>
      <c r="N513" s="23"/>
      <c r="O513" s="61"/>
      <c r="P513" s="61"/>
      <c r="Q513" s="61"/>
      <c r="R513" s="61"/>
      <c r="S513" s="61"/>
      <c r="T513" s="61"/>
      <c r="U513" s="61"/>
      <c r="V513" s="61"/>
      <c r="W513" s="61"/>
      <c r="X513" s="61"/>
      <c r="Y513" s="61"/>
      <c r="Z513" s="61"/>
      <c r="AA513" s="61"/>
      <c r="AB513" s="61"/>
      <c r="AC513" s="61"/>
      <c r="AD513" s="61"/>
      <c r="AE513" s="61"/>
      <c r="AF513" s="61"/>
      <c r="AG513" s="61"/>
      <c r="AH513" s="224"/>
      <c r="AI513" s="224"/>
      <c r="AJ513" s="61"/>
      <c r="AK513" s="224"/>
      <c r="AL513" s="225"/>
      <c r="AM513" s="143">
        <f>AQ28</f>
        <v>0</v>
      </c>
      <c r="AN513" s="4">
        <v>2</v>
      </c>
      <c r="AO513" s="4">
        <v>3</v>
      </c>
      <c r="AP513" s="4">
        <v>4</v>
      </c>
      <c r="AQ513" s="4">
        <v>5</v>
      </c>
      <c r="AR513" s="4">
        <v>6</v>
      </c>
      <c r="AS513" s="4">
        <v>7</v>
      </c>
      <c r="AT513" s="4">
        <v>8</v>
      </c>
      <c r="AU513" s="4">
        <v>1</v>
      </c>
      <c r="AV513" s="4">
        <v>2</v>
      </c>
      <c r="AW513" s="4">
        <v>3</v>
      </c>
      <c r="AX513" s="4">
        <v>4</v>
      </c>
      <c r="AY513" s="4">
        <v>5</v>
      </c>
      <c r="AZ513" s="4">
        <v>6</v>
      </c>
      <c r="BA513" s="4">
        <v>7</v>
      </c>
      <c r="BB513" s="4">
        <v>8</v>
      </c>
    </row>
    <row r="514" spans="1:54" s="4" customFormat="1" ht="11.25" x14ac:dyDescent="0.2">
      <c r="A514" s="311"/>
      <c r="B514" s="173">
        <v>1</v>
      </c>
      <c r="C514" s="174" t="s">
        <v>291</v>
      </c>
      <c r="D514" s="174"/>
      <c r="E514" s="174"/>
      <c r="F514" s="174"/>
      <c r="G514" s="174"/>
      <c r="H514" s="174"/>
      <c r="I514" s="174"/>
      <c r="J514" s="174"/>
      <c r="K514" s="174"/>
      <c r="L514" s="174"/>
      <c r="M514" s="174"/>
      <c r="N514" s="175"/>
      <c r="O514" s="262"/>
      <c r="P514" s="262"/>
      <c r="Q514" s="263"/>
      <c r="R514" s="264"/>
      <c r="S514" s="262"/>
      <c r="T514" s="263"/>
      <c r="U514" s="264"/>
      <c r="V514" s="262"/>
      <c r="W514" s="263"/>
      <c r="X514" s="264"/>
      <c r="Y514" s="262"/>
      <c r="Z514" s="263"/>
      <c r="AA514" s="264"/>
      <c r="AB514" s="262"/>
      <c r="AC514" s="263"/>
      <c r="AD514" s="264"/>
      <c r="AE514" s="262"/>
      <c r="AF514" s="263"/>
      <c r="AG514" s="264"/>
      <c r="AH514" s="262"/>
      <c r="AI514" s="263"/>
      <c r="AJ514" s="264"/>
      <c r="AK514" s="262"/>
      <c r="AL514" s="263"/>
      <c r="AM514" s="142">
        <f>IF(O514=0,0,1)</f>
        <v>0</v>
      </c>
      <c r="AN514" s="142">
        <f>IF(R514=0,0,1)</f>
        <v>0</v>
      </c>
      <c r="AO514" s="142">
        <f>IF(U514=0,0,1)</f>
        <v>0</v>
      </c>
      <c r="AP514" s="142">
        <f>IF(X514=0,0,1)</f>
        <v>0</v>
      </c>
      <c r="AQ514" s="142">
        <f>IF(AA514=0,0,1)</f>
        <v>0</v>
      </c>
      <c r="AR514" s="142">
        <f>IF(AD514=0,0,1)</f>
        <v>0</v>
      </c>
      <c r="AS514" s="142">
        <f>IF(AG514=0,0,1)</f>
        <v>0</v>
      </c>
      <c r="AT514" s="142">
        <f>IF(AJ514=0,0,1)</f>
        <v>0</v>
      </c>
      <c r="AU514" s="137">
        <f>IF(AND(SUM($AM$514:$AM$534)&gt;0,AM514=0,$O$537&gt;0),1,0)</f>
        <v>0</v>
      </c>
      <c r="AV514" s="137">
        <f>IF(AND(SUM($AN$514:$AN$534)&gt;0,AN514=0,$R$537&gt;0),1,0)</f>
        <v>0</v>
      </c>
      <c r="AW514" s="137">
        <f>IF(AND(SUM($AO$514:$AO$534)&gt;0,AO514=0,$U$537&gt;0),1,0)</f>
        <v>0</v>
      </c>
      <c r="AX514" s="137">
        <f>IF(AND(SUM($AP$514:$AP$534)&gt;0,AP514=0,$X$537&gt;0),1,0)</f>
        <v>0</v>
      </c>
      <c r="AY514" s="137">
        <f>IF(AND(SUM($AQ$514:$AQ$534)&gt;0,AQ514=0,$AA$537&gt;0),1,0)</f>
        <v>0</v>
      </c>
      <c r="AZ514" s="137">
        <f>IF(AND(SUM($AR$514:$AR$534)&gt;0,AR514=0,$AD$537&gt;0),1,0)</f>
        <v>0</v>
      </c>
      <c r="BA514" s="137">
        <f>IF(AND(SUM($AS$514:$AS$534)&gt;0,AS514=0,$AG$537&gt;0),1,0)</f>
        <v>0</v>
      </c>
      <c r="BB514" s="137">
        <f>IF(AND(SUM($AT$514:$AT$534)&gt;0,AT514=0,$AJ$537&gt;0),1,0)</f>
        <v>0</v>
      </c>
    </row>
    <row r="515" spans="1:54" s="4" customFormat="1" ht="11.25" x14ac:dyDescent="0.2">
      <c r="A515" s="311"/>
      <c r="B515" s="173">
        <v>2</v>
      </c>
      <c r="C515" s="174" t="s">
        <v>290</v>
      </c>
      <c r="D515" s="174"/>
      <c r="E515" s="174"/>
      <c r="F515" s="174"/>
      <c r="G515" s="174"/>
      <c r="H515" s="174"/>
      <c r="I515" s="174"/>
      <c r="J515" s="174"/>
      <c r="K515" s="174"/>
      <c r="L515" s="174"/>
      <c r="M515" s="174"/>
      <c r="N515" s="175"/>
      <c r="O515" s="262"/>
      <c r="P515" s="262"/>
      <c r="Q515" s="263"/>
      <c r="R515" s="262"/>
      <c r="S515" s="262"/>
      <c r="T515" s="263"/>
      <c r="U515" s="262"/>
      <c r="V515" s="262"/>
      <c r="W515" s="263"/>
      <c r="X515" s="262"/>
      <c r="Y515" s="262"/>
      <c r="Z515" s="263"/>
      <c r="AA515" s="262"/>
      <c r="AB515" s="262"/>
      <c r="AC515" s="263"/>
      <c r="AD515" s="262"/>
      <c r="AE515" s="262"/>
      <c r="AF515" s="263"/>
      <c r="AG515" s="262"/>
      <c r="AH515" s="262"/>
      <c r="AI515" s="263"/>
      <c r="AJ515" s="262"/>
      <c r="AK515" s="262"/>
      <c r="AL515" s="263"/>
      <c r="AM515" s="142">
        <f>IF(O515=0,0,1)</f>
        <v>0</v>
      </c>
      <c r="AN515" s="142">
        <f>IF(R515=0,0,1)</f>
        <v>0</v>
      </c>
      <c r="AO515" s="142">
        <f>IF(U515=0,0,1)</f>
        <v>0</v>
      </c>
      <c r="AP515" s="142">
        <f>IF(X515=0,0,1)</f>
        <v>0</v>
      </c>
      <c r="AQ515" s="142">
        <f>IF(AA515=0,0,1)</f>
        <v>0</v>
      </c>
      <c r="AR515" s="142">
        <f>IF(AD515=0,0,1)</f>
        <v>0</v>
      </c>
      <c r="AS515" s="142">
        <f>IF(AG515=0,0,1)</f>
        <v>0</v>
      </c>
      <c r="AT515" s="142">
        <f>IF(AJ515=0,0,1)</f>
        <v>0</v>
      </c>
      <c r="AU515" s="137">
        <f>IF(AND(SUM($AM$514:$AM$534)&gt;0,AM515=0,$O$537&gt;0),1,0)</f>
        <v>0</v>
      </c>
      <c r="AV515" s="137">
        <f>IF(AND(SUM($AN$514:$AN$534)&gt;0,AN515=0,$R$537&gt;0),1,0)</f>
        <v>0</v>
      </c>
      <c r="AW515" s="137">
        <f>IF(AND(SUM($AO$514:$AO$534)&gt;0,AO515=0,$U$537&gt;0),1,0)</f>
        <v>0</v>
      </c>
      <c r="AX515" s="137">
        <f>IF(AND(SUM($AP$514:$AP$534)&gt;0,AP515=0,$X$537&gt;0),1,0)</f>
        <v>0</v>
      </c>
      <c r="AY515" s="137">
        <f>IF(AND(SUM($AQ$514:$AQ$534)&gt;0,AQ515=0,$AA$537&gt;0),1,0)</f>
        <v>0</v>
      </c>
      <c r="AZ515" s="137">
        <f>IF(AND(SUM($AR$514:$AR$534)&gt;0,AR515=0,$AD$537&gt;0),1,0)</f>
        <v>0</v>
      </c>
      <c r="BA515" s="137">
        <f>IF(AND(SUM($AS$514:$AS$534)&gt;0,AS515=0,$AG$537&gt;0),1,0)</f>
        <v>0</v>
      </c>
      <c r="BB515" s="137">
        <f>IF(AND(SUM($AT$514:$AT$534)&gt;0,AT515=0,$AJ$537&gt;0),1,0)</f>
        <v>0</v>
      </c>
    </row>
    <row r="516" spans="1:54" s="4" customFormat="1" ht="11.25" x14ac:dyDescent="0.2">
      <c r="A516" s="311"/>
      <c r="B516" s="173">
        <v>3</v>
      </c>
      <c r="C516" s="174" t="s">
        <v>289</v>
      </c>
      <c r="D516" s="174"/>
      <c r="E516" s="174"/>
      <c r="F516" s="174"/>
      <c r="G516" s="174"/>
      <c r="H516" s="174"/>
      <c r="I516" s="174"/>
      <c r="J516" s="174"/>
      <c r="K516" s="174"/>
      <c r="L516" s="174"/>
      <c r="M516" s="174"/>
      <c r="N516" s="175"/>
      <c r="O516" s="262"/>
      <c r="P516" s="262"/>
      <c r="Q516" s="263"/>
      <c r="R516" s="262"/>
      <c r="S516" s="262"/>
      <c r="T516" s="263"/>
      <c r="U516" s="262"/>
      <c r="V516" s="262"/>
      <c r="W516" s="263"/>
      <c r="X516" s="262"/>
      <c r="Y516" s="262"/>
      <c r="Z516" s="263"/>
      <c r="AA516" s="262"/>
      <c r="AB516" s="262"/>
      <c r="AC516" s="263"/>
      <c r="AD516" s="262"/>
      <c r="AE516" s="262"/>
      <c r="AF516" s="263"/>
      <c r="AG516" s="262"/>
      <c r="AH516" s="262"/>
      <c r="AI516" s="263"/>
      <c r="AJ516" s="262"/>
      <c r="AK516" s="262"/>
      <c r="AL516" s="263"/>
      <c r="AM516" s="142">
        <f>IF(O516=0,0,1)</f>
        <v>0</v>
      </c>
      <c r="AN516" s="142">
        <f>IF(R516=0,0,1)</f>
        <v>0</v>
      </c>
      <c r="AO516" s="142">
        <f>IF(U516=0,0,1)</f>
        <v>0</v>
      </c>
      <c r="AP516" s="142">
        <f>IF(X516=0,0,1)</f>
        <v>0</v>
      </c>
      <c r="AQ516" s="142">
        <f>IF(AA516=0,0,1)</f>
        <v>0</v>
      </c>
      <c r="AR516" s="142">
        <f>IF(AD516=0,0,1)</f>
        <v>0</v>
      </c>
      <c r="AS516" s="142">
        <f>IF(AG516=0,0,1)</f>
        <v>0</v>
      </c>
      <c r="AT516" s="142">
        <f>IF(AJ516=0,0,1)</f>
        <v>0</v>
      </c>
      <c r="AU516" s="137">
        <f>IF(AND(SUM($AM$514:$AM$534)&gt;0,AM516=0,$O$537&gt;0),1,0)</f>
        <v>0</v>
      </c>
      <c r="AV516" s="137">
        <f>IF(AND(SUM($AN$514:$AN$534)&gt;0,AN516=0,$R$537&gt;0),1,0)</f>
        <v>0</v>
      </c>
      <c r="AW516" s="137">
        <f>IF(AND(SUM($AO$514:$AO$534)&gt;0,AO516=0,$U$537&gt;0),1,0)</f>
        <v>0</v>
      </c>
      <c r="AX516" s="137">
        <f>IF(AND(SUM($AP$514:$AP$534)&gt;0,AP516=0,$X$537&gt;0),1,0)</f>
        <v>0</v>
      </c>
      <c r="AY516" s="137">
        <f>IF(AND(SUM($AQ$514:$AQ$534)&gt;0,AQ516=0,$AA$537&gt;0),1,0)</f>
        <v>0</v>
      </c>
      <c r="AZ516" s="137">
        <f>IF(AND(SUM($AR$514:$AR$534)&gt;0,AR516=0,$AD$537&gt;0),1,0)</f>
        <v>0</v>
      </c>
      <c r="BA516" s="137">
        <f>IF(AND(SUM($AS$514:$AS$534)&gt;0,AS516=0,$AG$537&gt;0),1,0)</f>
        <v>0</v>
      </c>
      <c r="BB516" s="137">
        <f>IF(AND(SUM($AT$514:$AT$534)&gt;0,AT516=0,$AJ$537&gt;0),1,0)</f>
        <v>0</v>
      </c>
    </row>
    <row r="517" spans="1:54" s="4" customFormat="1" ht="11.25" x14ac:dyDescent="0.2">
      <c r="A517" s="311"/>
      <c r="B517" s="173"/>
      <c r="C517" s="188" t="s">
        <v>52</v>
      </c>
      <c r="D517" s="174" t="s">
        <v>292</v>
      </c>
      <c r="E517" s="174"/>
      <c r="F517" s="174"/>
      <c r="G517" s="174"/>
      <c r="H517" s="174"/>
      <c r="I517" s="174"/>
      <c r="J517" s="174"/>
      <c r="K517" s="174"/>
      <c r="L517" s="174"/>
      <c r="M517" s="174"/>
      <c r="N517" s="175"/>
      <c r="O517" s="262">
        <v>0</v>
      </c>
      <c r="P517" s="262"/>
      <c r="Q517" s="263"/>
      <c r="R517" s="264">
        <v>0</v>
      </c>
      <c r="S517" s="262"/>
      <c r="T517" s="263"/>
      <c r="U517" s="264">
        <v>0</v>
      </c>
      <c r="V517" s="262"/>
      <c r="W517" s="263"/>
      <c r="X517" s="264">
        <v>0</v>
      </c>
      <c r="Y517" s="262"/>
      <c r="Z517" s="263"/>
      <c r="AA517" s="264">
        <v>0</v>
      </c>
      <c r="AB517" s="262"/>
      <c r="AC517" s="263"/>
      <c r="AD517" s="264">
        <v>0</v>
      </c>
      <c r="AE517" s="262"/>
      <c r="AF517" s="263"/>
      <c r="AG517" s="264">
        <v>0</v>
      </c>
      <c r="AH517" s="262"/>
      <c r="AI517" s="263"/>
      <c r="AJ517" s="264">
        <v>0</v>
      </c>
      <c r="AK517" s="262"/>
      <c r="AL517" s="263"/>
      <c r="AM517" s="142">
        <f>IF(O517=0,0,1)</f>
        <v>0</v>
      </c>
      <c r="AN517" s="142">
        <f>IF(R517=0,0,1)</f>
        <v>0</v>
      </c>
      <c r="AO517" s="142">
        <f>IF(U517=0,0,1)</f>
        <v>0</v>
      </c>
      <c r="AP517" s="142">
        <f>IF(X517=0,0,1)</f>
        <v>0</v>
      </c>
      <c r="AQ517" s="142">
        <f>IF(AA517=0,0,1)</f>
        <v>0</v>
      </c>
      <c r="AR517" s="142">
        <f>IF(AD517=0,0,1)</f>
        <v>0</v>
      </c>
      <c r="AS517" s="142">
        <f>IF(AG517=0,0,1)</f>
        <v>0</v>
      </c>
      <c r="AT517" s="142">
        <f>IF(AJ517=0,0,1)</f>
        <v>0</v>
      </c>
      <c r="AU517" s="137">
        <f>IF(AND(SUM($AM$514:$AM$534)&gt;0,AM517=0,O516="Yes",$O$537&gt;0),1,0)</f>
        <v>0</v>
      </c>
      <c r="AV517" s="137">
        <f>IF(AND(SUM($AN$514:$AN$534)&gt;0,AN517=0,R516="Yes",$R$537&gt;0),1,0)</f>
        <v>0</v>
      </c>
      <c r="AW517" s="137">
        <f>IF(AND(SUM($AO$514:$AO$534)&gt;0,AO517=0,U516="Yes",$U$537&gt;0),1,0)</f>
        <v>0</v>
      </c>
      <c r="AX517" s="137">
        <f>IF(AND(SUM($AP$514:$AP$534)&gt;0,AP517=0,X516="Yes",$X$537&gt;0),1,0)</f>
        <v>0</v>
      </c>
      <c r="AY517" s="137">
        <f>IF(AND(SUM($AQ$514:$AQ$534)&gt;0,AQ517=0,AA516="Yes",$AA$537&gt;0),1,0)</f>
        <v>0</v>
      </c>
      <c r="AZ517" s="137">
        <f>IF(AND(SUM($AR$514:$AR$534)&gt;0,AR517=0,AD516="Yes",$AD$537&gt;0),1,0)</f>
        <v>0</v>
      </c>
      <c r="BA517" s="137">
        <f>IF(AND(SUM($AS$514:$AS$534)&gt;0,AS517=0,AG516="Yes",$AG$537&gt;0),1,0)</f>
        <v>0</v>
      </c>
      <c r="BB517" s="137">
        <f>IF(AND(SUM($AT$514:$AT$534)&gt;0,AT517=0,AJ516="Yes",$AJ$537&gt;0),1,0)</f>
        <v>0</v>
      </c>
    </row>
    <row r="518" spans="1:54" s="4" customFormat="1" ht="11.25" x14ac:dyDescent="0.2">
      <c r="A518" s="311"/>
      <c r="B518" s="79" t="s">
        <v>148</v>
      </c>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196"/>
      <c r="AH518" s="196"/>
      <c r="AI518" s="196"/>
      <c r="AJ518" s="196"/>
      <c r="AK518" s="196"/>
      <c r="AL518" s="197"/>
      <c r="AM518" s="142"/>
      <c r="AN518" s="142"/>
      <c r="AO518" s="142"/>
      <c r="AP518" s="142"/>
      <c r="AQ518" s="142"/>
      <c r="AR518" s="142"/>
      <c r="AS518" s="142"/>
      <c r="AT518" s="142"/>
      <c r="AU518" s="137"/>
      <c r="AV518" s="137"/>
      <c r="AW518" s="137"/>
      <c r="AX518" s="137"/>
      <c r="AY518" s="137"/>
      <c r="AZ518" s="137"/>
      <c r="BA518" s="137"/>
      <c r="BB518" s="137"/>
    </row>
    <row r="519" spans="1:54" s="4" customFormat="1" ht="11.25" x14ac:dyDescent="0.2">
      <c r="A519" s="311"/>
      <c r="B519" s="173">
        <v>4</v>
      </c>
      <c r="C519" s="174" t="s">
        <v>293</v>
      </c>
      <c r="D519" s="174"/>
      <c r="E519" s="174"/>
      <c r="F519" s="174"/>
      <c r="G519" s="174"/>
      <c r="H519" s="174"/>
      <c r="I519" s="174"/>
      <c r="J519" s="174"/>
      <c r="K519" s="174"/>
      <c r="L519" s="174"/>
      <c r="M519" s="174"/>
      <c r="N519" s="175"/>
      <c r="O519" s="262">
        <v>0</v>
      </c>
      <c r="P519" s="262"/>
      <c r="Q519" s="263"/>
      <c r="R519" s="264">
        <v>0</v>
      </c>
      <c r="S519" s="262"/>
      <c r="T519" s="263"/>
      <c r="U519" s="264">
        <v>0</v>
      </c>
      <c r="V519" s="262"/>
      <c r="W519" s="263"/>
      <c r="X519" s="264">
        <v>0</v>
      </c>
      <c r="Y519" s="262"/>
      <c r="Z519" s="263"/>
      <c r="AA519" s="264">
        <v>0</v>
      </c>
      <c r="AB519" s="262"/>
      <c r="AC519" s="263"/>
      <c r="AD519" s="264">
        <v>0</v>
      </c>
      <c r="AE519" s="262"/>
      <c r="AF519" s="263"/>
      <c r="AG519" s="264">
        <v>0</v>
      </c>
      <c r="AH519" s="262"/>
      <c r="AI519" s="263"/>
      <c r="AJ519" s="264">
        <v>0</v>
      </c>
      <c r="AK519" s="262"/>
      <c r="AL519" s="263"/>
      <c r="AM519" s="142">
        <f>IF(O519=0,0,1)</f>
        <v>0</v>
      </c>
      <c r="AN519" s="142">
        <f>IF(R519=0,0,1)</f>
        <v>0</v>
      </c>
      <c r="AO519" s="142">
        <f>IF(U519=0,0,1)</f>
        <v>0</v>
      </c>
      <c r="AP519" s="142">
        <f>IF(X519=0,0,1)</f>
        <v>0</v>
      </c>
      <c r="AQ519" s="142">
        <f>IF(AA519=0,0,1)</f>
        <v>0</v>
      </c>
      <c r="AR519" s="142">
        <f>IF(AD519=0,0,1)</f>
        <v>0</v>
      </c>
      <c r="AS519" s="142">
        <f>IF(AG519=0,0,1)</f>
        <v>0</v>
      </c>
      <c r="AT519" s="142">
        <f>IF(AJ519=0,0,1)</f>
        <v>0</v>
      </c>
      <c r="AU519" s="137">
        <f t="shared" ref="AU519:BB519" si="130">IF(AND(SUM(AM514:AM534)&gt;0,AM519=0,AM520&gt;0),1,0)</f>
        <v>0</v>
      </c>
      <c r="AV519" s="137">
        <f t="shared" si="130"/>
        <v>0</v>
      </c>
      <c r="AW519" s="137">
        <f t="shared" si="130"/>
        <v>0</v>
      </c>
      <c r="AX519" s="137">
        <f t="shared" si="130"/>
        <v>0</v>
      </c>
      <c r="AY519" s="137">
        <f t="shared" si="130"/>
        <v>0</v>
      </c>
      <c r="AZ519" s="137">
        <f t="shared" si="130"/>
        <v>0</v>
      </c>
      <c r="BA519" s="137">
        <f t="shared" si="130"/>
        <v>0</v>
      </c>
      <c r="BB519" s="137">
        <f t="shared" si="130"/>
        <v>0</v>
      </c>
    </row>
    <row r="520" spans="1:54" s="4" customFormat="1" ht="11.25" x14ac:dyDescent="0.2">
      <c r="A520" s="311"/>
      <c r="B520" s="173">
        <v>5</v>
      </c>
      <c r="C520" s="174" t="s">
        <v>294</v>
      </c>
      <c r="D520" s="174"/>
      <c r="E520" s="174"/>
      <c r="F520" s="174"/>
      <c r="G520" s="174"/>
      <c r="H520" s="174"/>
      <c r="I520" s="174"/>
      <c r="J520" s="174"/>
      <c r="K520" s="174"/>
      <c r="L520" s="174"/>
      <c r="M520" s="174"/>
      <c r="N520" s="175"/>
      <c r="O520" s="260">
        <v>0</v>
      </c>
      <c r="P520" s="260"/>
      <c r="Q520" s="261"/>
      <c r="R520" s="259">
        <v>0</v>
      </c>
      <c r="S520" s="260"/>
      <c r="T520" s="261"/>
      <c r="U520" s="259">
        <v>0</v>
      </c>
      <c r="V520" s="260"/>
      <c r="W520" s="261"/>
      <c r="X520" s="259">
        <v>0</v>
      </c>
      <c r="Y520" s="260"/>
      <c r="Z520" s="261"/>
      <c r="AA520" s="259">
        <v>0</v>
      </c>
      <c r="AB520" s="260"/>
      <c r="AC520" s="261"/>
      <c r="AD520" s="259">
        <v>0</v>
      </c>
      <c r="AE520" s="260"/>
      <c r="AF520" s="261"/>
      <c r="AG520" s="259">
        <v>0</v>
      </c>
      <c r="AH520" s="260"/>
      <c r="AI520" s="261"/>
      <c r="AJ520" s="259">
        <v>0</v>
      </c>
      <c r="AK520" s="260"/>
      <c r="AL520" s="261"/>
      <c r="AM520" s="142">
        <f>IF(O520=0,0,1)</f>
        <v>0</v>
      </c>
      <c r="AN520" s="142">
        <f>IF(R520=0,0,1)</f>
        <v>0</v>
      </c>
      <c r="AO520" s="142">
        <f>IF(U520=0,0,1)</f>
        <v>0</v>
      </c>
      <c r="AP520" s="142">
        <f>IF(X520=0,0,1)</f>
        <v>0</v>
      </c>
      <c r="AQ520" s="142">
        <f>IF(AA520=0,0,1)</f>
        <v>0</v>
      </c>
      <c r="AR520" s="142">
        <f>IF(AD520=0,0,1)</f>
        <v>0</v>
      </c>
      <c r="AS520" s="142">
        <f>IF(AG520=0,0,1)</f>
        <v>0</v>
      </c>
      <c r="AT520" s="142">
        <f>IF(AJ520=0,0,1)</f>
        <v>0</v>
      </c>
      <c r="AU520" s="137"/>
      <c r="AV520" s="137"/>
      <c r="AW520" s="137"/>
      <c r="AX520" s="137"/>
      <c r="AY520" s="137"/>
      <c r="AZ520" s="137"/>
      <c r="BA520" s="137"/>
      <c r="BB520" s="137"/>
    </row>
    <row r="521" spans="1:54" s="4" customFormat="1" ht="11.25" x14ac:dyDescent="0.2">
      <c r="A521" s="311"/>
      <c r="B521" s="79" t="s">
        <v>149</v>
      </c>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196"/>
      <c r="AH521" s="196"/>
      <c r="AI521" s="196"/>
      <c r="AJ521" s="196"/>
      <c r="AK521" s="196"/>
      <c r="AL521" s="197"/>
      <c r="AM521" s="142"/>
      <c r="AN521" s="142"/>
      <c r="AO521" s="142"/>
      <c r="AP521" s="142"/>
      <c r="AQ521" s="142"/>
      <c r="AR521" s="142"/>
      <c r="AS521" s="142"/>
      <c r="AT521" s="142"/>
      <c r="AU521" s="137"/>
      <c r="AV521" s="137"/>
      <c r="AW521" s="137"/>
      <c r="AX521" s="137"/>
      <c r="AY521" s="137"/>
      <c r="AZ521" s="137"/>
      <c r="BA521" s="137"/>
      <c r="BB521" s="137"/>
    </row>
    <row r="522" spans="1:54" s="4" customFormat="1" ht="11.25" x14ac:dyDescent="0.2">
      <c r="A522" s="311"/>
      <c r="B522" s="173">
        <v>6</v>
      </c>
      <c r="C522" s="174" t="s">
        <v>295</v>
      </c>
      <c r="D522" s="174"/>
      <c r="E522" s="174"/>
      <c r="F522" s="174"/>
      <c r="G522" s="174"/>
      <c r="H522" s="174"/>
      <c r="I522" s="174"/>
      <c r="J522" s="174"/>
      <c r="K522" s="174"/>
      <c r="L522" s="174"/>
      <c r="M522" s="174"/>
      <c r="N522" s="175"/>
      <c r="O522" s="262">
        <v>0</v>
      </c>
      <c r="P522" s="262"/>
      <c r="Q522" s="263"/>
      <c r="R522" s="264">
        <v>0</v>
      </c>
      <c r="S522" s="262"/>
      <c r="T522" s="263"/>
      <c r="U522" s="264">
        <v>0</v>
      </c>
      <c r="V522" s="262"/>
      <c r="W522" s="263"/>
      <c r="X522" s="264">
        <v>0</v>
      </c>
      <c r="Y522" s="262"/>
      <c r="Z522" s="263"/>
      <c r="AA522" s="264">
        <v>0</v>
      </c>
      <c r="AB522" s="262"/>
      <c r="AC522" s="263"/>
      <c r="AD522" s="264">
        <v>0</v>
      </c>
      <c r="AE522" s="262"/>
      <c r="AF522" s="263"/>
      <c r="AG522" s="264">
        <v>0</v>
      </c>
      <c r="AH522" s="262"/>
      <c r="AI522" s="263"/>
      <c r="AJ522" s="264">
        <v>0</v>
      </c>
      <c r="AK522" s="262"/>
      <c r="AL522" s="263"/>
      <c r="AM522" s="142">
        <f>IF(O522=0,0,1)</f>
        <v>0</v>
      </c>
      <c r="AN522" s="142">
        <f>IF(R522=0,0,1)</f>
        <v>0</v>
      </c>
      <c r="AO522" s="142">
        <f>IF(U522=0,0,1)</f>
        <v>0</v>
      </c>
      <c r="AP522" s="142">
        <f>IF(X522=0,0,1)</f>
        <v>0</v>
      </c>
      <c r="AQ522" s="142">
        <f>IF(AA522=0,0,1)</f>
        <v>0</v>
      </c>
      <c r="AR522" s="142">
        <f>IF(AD522=0,0,1)</f>
        <v>0</v>
      </c>
      <c r="AS522" s="142">
        <f>IF(AG522=0,0,1)</f>
        <v>0</v>
      </c>
      <c r="AT522" s="142">
        <f>IF(AJ522=0,0,1)</f>
        <v>0</v>
      </c>
      <c r="AU522" s="137">
        <f t="shared" ref="AU522:BB522" si="131">IF(AND(SUM(AM514:AM534)&gt;0,AM522=0,AM523&gt;0),1,0)</f>
        <v>0</v>
      </c>
      <c r="AV522" s="137">
        <f t="shared" si="131"/>
        <v>0</v>
      </c>
      <c r="AW522" s="137">
        <f t="shared" si="131"/>
        <v>0</v>
      </c>
      <c r="AX522" s="137">
        <f t="shared" si="131"/>
        <v>0</v>
      </c>
      <c r="AY522" s="137">
        <f t="shared" si="131"/>
        <v>0</v>
      </c>
      <c r="AZ522" s="137">
        <f t="shared" si="131"/>
        <v>0</v>
      </c>
      <c r="BA522" s="137">
        <f t="shared" si="131"/>
        <v>0</v>
      </c>
      <c r="BB522" s="137">
        <f t="shared" si="131"/>
        <v>0</v>
      </c>
    </row>
    <row r="523" spans="1:54" s="4" customFormat="1" ht="11.25" x14ac:dyDescent="0.2">
      <c r="A523" s="311"/>
      <c r="B523" s="173">
        <v>7</v>
      </c>
      <c r="C523" s="174" t="s">
        <v>296</v>
      </c>
      <c r="D523" s="174"/>
      <c r="E523" s="174"/>
      <c r="F523" s="174"/>
      <c r="G523" s="174"/>
      <c r="H523" s="174"/>
      <c r="I523" s="174"/>
      <c r="J523" s="174"/>
      <c r="K523" s="174"/>
      <c r="L523" s="174"/>
      <c r="M523" s="174"/>
      <c r="N523" s="175"/>
      <c r="O523" s="260">
        <v>0</v>
      </c>
      <c r="P523" s="260"/>
      <c r="Q523" s="261"/>
      <c r="R523" s="259">
        <v>0</v>
      </c>
      <c r="S523" s="260"/>
      <c r="T523" s="261"/>
      <c r="U523" s="259">
        <v>0</v>
      </c>
      <c r="V523" s="260"/>
      <c r="W523" s="261"/>
      <c r="X523" s="259">
        <v>0</v>
      </c>
      <c r="Y523" s="260"/>
      <c r="Z523" s="261"/>
      <c r="AA523" s="259">
        <v>0</v>
      </c>
      <c r="AB523" s="260"/>
      <c r="AC523" s="261"/>
      <c r="AD523" s="259">
        <v>0</v>
      </c>
      <c r="AE523" s="260"/>
      <c r="AF523" s="261"/>
      <c r="AG523" s="259">
        <v>0</v>
      </c>
      <c r="AH523" s="260"/>
      <c r="AI523" s="261"/>
      <c r="AJ523" s="259">
        <v>0</v>
      </c>
      <c r="AK523" s="260"/>
      <c r="AL523" s="261"/>
      <c r="AM523" s="142">
        <f>IF(O523=0,0,1)</f>
        <v>0</v>
      </c>
      <c r="AN523" s="142">
        <f>IF(R523=0,0,1)</f>
        <v>0</v>
      </c>
      <c r="AO523" s="142">
        <f>IF(U523=0,0,1)</f>
        <v>0</v>
      </c>
      <c r="AP523" s="142">
        <f>IF(X523=0,0,1)</f>
        <v>0</v>
      </c>
      <c r="AQ523" s="142">
        <f>IF(AA523=0,0,1)</f>
        <v>0</v>
      </c>
      <c r="AR523" s="142">
        <f>IF(AD523=0,0,1)</f>
        <v>0</v>
      </c>
      <c r="AS523" s="142">
        <f>IF(AG523=0,0,1)</f>
        <v>0</v>
      </c>
      <c r="AT523" s="142">
        <f>IF(AJ523=0,0,1)</f>
        <v>0</v>
      </c>
      <c r="AU523" s="137"/>
      <c r="AV523" s="137"/>
      <c r="AW523" s="137"/>
      <c r="AX523" s="137"/>
      <c r="AY523" s="137"/>
      <c r="AZ523" s="137"/>
      <c r="BA523" s="137"/>
      <c r="BB523" s="137"/>
    </row>
    <row r="524" spans="1:54" s="4" customFormat="1" ht="11.25" x14ac:dyDescent="0.2">
      <c r="A524" s="311"/>
      <c r="B524" s="79" t="s">
        <v>299</v>
      </c>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196"/>
      <c r="AH524" s="196"/>
      <c r="AI524" s="196"/>
      <c r="AJ524" s="196"/>
      <c r="AK524" s="196"/>
      <c r="AL524" s="197"/>
      <c r="AM524" s="142"/>
      <c r="AN524" s="142"/>
      <c r="AO524" s="142"/>
      <c r="AP524" s="142"/>
      <c r="AQ524" s="142"/>
      <c r="AR524" s="142"/>
      <c r="AS524" s="142"/>
      <c r="AT524" s="142"/>
      <c r="AU524" s="137"/>
      <c r="AV524" s="137"/>
      <c r="AW524" s="137"/>
      <c r="AX524" s="137"/>
      <c r="AY524" s="137"/>
      <c r="AZ524" s="137"/>
      <c r="BA524" s="137"/>
      <c r="BB524" s="137"/>
    </row>
    <row r="525" spans="1:54" s="4" customFormat="1" ht="11.25" x14ac:dyDescent="0.2">
      <c r="A525" s="311"/>
      <c r="B525" s="173">
        <v>8</v>
      </c>
      <c r="C525" s="174" t="s">
        <v>298</v>
      </c>
      <c r="D525" s="174"/>
      <c r="E525" s="174"/>
      <c r="F525" s="174"/>
      <c r="G525" s="174"/>
      <c r="H525" s="174"/>
      <c r="I525" s="174"/>
      <c r="J525" s="174"/>
      <c r="K525" s="174"/>
      <c r="L525" s="174"/>
      <c r="M525" s="174"/>
      <c r="N525" s="175"/>
      <c r="O525" s="262">
        <v>0</v>
      </c>
      <c r="P525" s="262"/>
      <c r="Q525" s="263"/>
      <c r="R525" s="264">
        <v>0</v>
      </c>
      <c r="S525" s="262"/>
      <c r="T525" s="263"/>
      <c r="U525" s="264">
        <v>0</v>
      </c>
      <c r="V525" s="262"/>
      <c r="W525" s="263"/>
      <c r="X525" s="264">
        <v>0</v>
      </c>
      <c r="Y525" s="262"/>
      <c r="Z525" s="263"/>
      <c r="AA525" s="264">
        <v>0</v>
      </c>
      <c r="AB525" s="262"/>
      <c r="AC525" s="263"/>
      <c r="AD525" s="264">
        <v>0</v>
      </c>
      <c r="AE525" s="262"/>
      <c r="AF525" s="263"/>
      <c r="AG525" s="264">
        <v>0</v>
      </c>
      <c r="AH525" s="262"/>
      <c r="AI525" s="263"/>
      <c r="AJ525" s="264">
        <v>0</v>
      </c>
      <c r="AK525" s="262"/>
      <c r="AL525" s="263"/>
      <c r="AM525" s="142">
        <f>IF(O525=0,0,1)</f>
        <v>0</v>
      </c>
      <c r="AN525" s="142">
        <f>IF(R525=0,0,1)</f>
        <v>0</v>
      </c>
      <c r="AO525" s="142">
        <f>IF(U525=0,0,1)</f>
        <v>0</v>
      </c>
      <c r="AP525" s="142">
        <f>IF(X525=0,0,1)</f>
        <v>0</v>
      </c>
      <c r="AQ525" s="142">
        <f>IF(AA525=0,0,1)</f>
        <v>0</v>
      </c>
      <c r="AR525" s="142">
        <f>IF(AD525=0,0,1)</f>
        <v>0</v>
      </c>
      <c r="AS525" s="142">
        <f>IF(AG525=0,0,1)</f>
        <v>0</v>
      </c>
      <c r="AT525" s="142">
        <f>IF(AJ525=0,0,1)</f>
        <v>0</v>
      </c>
      <c r="AU525" s="137">
        <f t="shared" ref="AU525:BB525" si="132">IF(AND(SUM(AM514:AM534)&gt;0,AM525=0,AM526&gt;0),1,0)</f>
        <v>0</v>
      </c>
      <c r="AV525" s="137">
        <f t="shared" si="132"/>
        <v>0</v>
      </c>
      <c r="AW525" s="137">
        <f t="shared" si="132"/>
        <v>0</v>
      </c>
      <c r="AX525" s="137">
        <f t="shared" si="132"/>
        <v>0</v>
      </c>
      <c r="AY525" s="137">
        <f t="shared" si="132"/>
        <v>0</v>
      </c>
      <c r="AZ525" s="137">
        <f t="shared" si="132"/>
        <v>0</v>
      </c>
      <c r="BA525" s="137">
        <f t="shared" si="132"/>
        <v>0</v>
      </c>
      <c r="BB525" s="137">
        <f t="shared" si="132"/>
        <v>0</v>
      </c>
    </row>
    <row r="526" spans="1:54" s="4" customFormat="1" ht="11.25" x14ac:dyDescent="0.2">
      <c r="A526" s="311"/>
      <c r="B526" s="173">
        <v>9</v>
      </c>
      <c r="C526" s="174" t="s">
        <v>297</v>
      </c>
      <c r="D526" s="174"/>
      <c r="E526" s="174"/>
      <c r="F526" s="174"/>
      <c r="G526" s="174"/>
      <c r="H526" s="174"/>
      <c r="I526" s="174"/>
      <c r="J526" s="174"/>
      <c r="K526" s="174"/>
      <c r="L526" s="174"/>
      <c r="M526" s="174"/>
      <c r="N526" s="175"/>
      <c r="O526" s="260">
        <v>0</v>
      </c>
      <c r="P526" s="260"/>
      <c r="Q526" s="261"/>
      <c r="R526" s="259">
        <v>0</v>
      </c>
      <c r="S526" s="260"/>
      <c r="T526" s="261"/>
      <c r="U526" s="259">
        <v>0</v>
      </c>
      <c r="V526" s="260"/>
      <c r="W526" s="261"/>
      <c r="X526" s="259">
        <v>0</v>
      </c>
      <c r="Y526" s="260"/>
      <c r="Z526" s="261"/>
      <c r="AA526" s="259">
        <v>0</v>
      </c>
      <c r="AB526" s="260"/>
      <c r="AC526" s="261"/>
      <c r="AD526" s="259">
        <v>0</v>
      </c>
      <c r="AE526" s="260"/>
      <c r="AF526" s="261"/>
      <c r="AG526" s="259">
        <v>0</v>
      </c>
      <c r="AH526" s="260"/>
      <c r="AI526" s="261"/>
      <c r="AJ526" s="259">
        <v>0</v>
      </c>
      <c r="AK526" s="260"/>
      <c r="AL526" s="261"/>
      <c r="AM526" s="142">
        <f>IF(O526=0,0,1)</f>
        <v>0</v>
      </c>
      <c r="AN526" s="142">
        <f>IF(R526=0,0,1)</f>
        <v>0</v>
      </c>
      <c r="AO526" s="142">
        <f>IF(U526=0,0,1)</f>
        <v>0</v>
      </c>
      <c r="AP526" s="142">
        <f>IF(X526=0,0,1)</f>
        <v>0</v>
      </c>
      <c r="AQ526" s="142">
        <f>IF(AA526=0,0,1)</f>
        <v>0</v>
      </c>
      <c r="AR526" s="142">
        <f>IF(AD526=0,0,1)</f>
        <v>0</v>
      </c>
      <c r="AS526" s="142">
        <f>IF(AG526=0,0,1)</f>
        <v>0</v>
      </c>
      <c r="AT526" s="142">
        <f>IF(AJ526=0,0,1)</f>
        <v>0</v>
      </c>
      <c r="AU526" s="137"/>
      <c r="AV526" s="137"/>
      <c r="AW526" s="137"/>
      <c r="AX526" s="137"/>
      <c r="AY526" s="137"/>
      <c r="AZ526" s="137"/>
      <c r="BA526" s="137"/>
      <c r="BB526" s="137"/>
    </row>
    <row r="527" spans="1:54" s="4" customFormat="1" ht="11.25" x14ac:dyDescent="0.2">
      <c r="A527" s="311"/>
      <c r="B527" s="79" t="s">
        <v>154</v>
      </c>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196"/>
      <c r="AH527" s="196"/>
      <c r="AI527" s="196"/>
      <c r="AJ527" s="196"/>
      <c r="AK527" s="196"/>
      <c r="AL527" s="197"/>
      <c r="AM527" s="142"/>
      <c r="AN527" s="142"/>
      <c r="AO527" s="142"/>
      <c r="AP527" s="142"/>
      <c r="AQ527" s="142"/>
      <c r="AR527" s="142"/>
      <c r="AS527" s="142"/>
      <c r="AT527" s="142"/>
      <c r="AU527" s="137"/>
      <c r="AV527" s="137"/>
      <c r="AW527" s="137"/>
      <c r="AX527" s="137"/>
      <c r="AY527" s="137"/>
      <c r="AZ527" s="137"/>
      <c r="BA527" s="137"/>
      <c r="BB527" s="137"/>
    </row>
    <row r="528" spans="1:54" s="4" customFormat="1" ht="11.25" x14ac:dyDescent="0.2">
      <c r="A528" s="311"/>
      <c r="B528" s="173">
        <v>10</v>
      </c>
      <c r="C528" s="174" t="s">
        <v>301</v>
      </c>
      <c r="D528" s="174"/>
      <c r="E528" s="174"/>
      <c r="F528" s="174"/>
      <c r="G528" s="174"/>
      <c r="H528" s="174"/>
      <c r="I528" s="174"/>
      <c r="J528" s="174"/>
      <c r="K528" s="174"/>
      <c r="L528" s="174"/>
      <c r="M528" s="174"/>
      <c r="N528" s="175"/>
      <c r="O528" s="262">
        <v>0</v>
      </c>
      <c r="P528" s="262"/>
      <c r="Q528" s="263"/>
      <c r="R528" s="264">
        <v>0</v>
      </c>
      <c r="S528" s="262"/>
      <c r="T528" s="263"/>
      <c r="U528" s="264">
        <v>0</v>
      </c>
      <c r="V528" s="262"/>
      <c r="W528" s="263"/>
      <c r="X528" s="264">
        <v>0</v>
      </c>
      <c r="Y528" s="262"/>
      <c r="Z528" s="263"/>
      <c r="AA528" s="264">
        <v>0</v>
      </c>
      <c r="AB528" s="262"/>
      <c r="AC528" s="263"/>
      <c r="AD528" s="264">
        <v>0</v>
      </c>
      <c r="AE528" s="262"/>
      <c r="AF528" s="263"/>
      <c r="AG528" s="264">
        <v>0</v>
      </c>
      <c r="AH528" s="262"/>
      <c r="AI528" s="263"/>
      <c r="AJ528" s="264">
        <v>0</v>
      </c>
      <c r="AK528" s="262"/>
      <c r="AL528" s="263"/>
      <c r="AM528" s="142">
        <f>IF(O528=0,0,1)</f>
        <v>0</v>
      </c>
      <c r="AN528" s="142">
        <f>IF(R528=0,0,1)</f>
        <v>0</v>
      </c>
      <c r="AO528" s="142">
        <f>IF(U528=0,0,1)</f>
        <v>0</v>
      </c>
      <c r="AP528" s="142">
        <f>IF(X528=0,0,1)</f>
        <v>0</v>
      </c>
      <c r="AQ528" s="142">
        <f>IF(AA528=0,0,1)</f>
        <v>0</v>
      </c>
      <c r="AR528" s="142">
        <f>IF(AD528=0,0,1)</f>
        <v>0</v>
      </c>
      <c r="AS528" s="142">
        <f>IF(AG528=0,0,1)</f>
        <v>0</v>
      </c>
      <c r="AT528" s="142">
        <f>IF(AJ528=0,0,1)</f>
        <v>0</v>
      </c>
      <c r="AU528" s="137">
        <f t="shared" ref="AU528:BB528" si="133">IF(AND(SUM(AM514:AM534)&gt;0,AM528=0,AM529&gt;0),1,0)</f>
        <v>0</v>
      </c>
      <c r="AV528" s="137">
        <f t="shared" si="133"/>
        <v>0</v>
      </c>
      <c r="AW528" s="137">
        <f t="shared" si="133"/>
        <v>0</v>
      </c>
      <c r="AX528" s="137">
        <f t="shared" si="133"/>
        <v>0</v>
      </c>
      <c r="AY528" s="137">
        <f t="shared" si="133"/>
        <v>0</v>
      </c>
      <c r="AZ528" s="137">
        <f t="shared" si="133"/>
        <v>0</v>
      </c>
      <c r="BA528" s="137">
        <f t="shared" si="133"/>
        <v>0</v>
      </c>
      <c r="BB528" s="137">
        <f t="shared" si="133"/>
        <v>0</v>
      </c>
    </row>
    <row r="529" spans="1:54" s="4" customFormat="1" ht="11.25" x14ac:dyDescent="0.2">
      <c r="A529" s="311"/>
      <c r="B529" s="173">
        <v>11</v>
      </c>
      <c r="C529" s="174" t="s">
        <v>302</v>
      </c>
      <c r="D529" s="174"/>
      <c r="E529" s="174"/>
      <c r="F529" s="174"/>
      <c r="G529" s="174"/>
      <c r="H529" s="174"/>
      <c r="I529" s="174"/>
      <c r="J529" s="174"/>
      <c r="K529" s="174"/>
      <c r="L529" s="174"/>
      <c r="M529" s="174"/>
      <c r="N529" s="175"/>
      <c r="O529" s="260">
        <v>0</v>
      </c>
      <c r="P529" s="260"/>
      <c r="Q529" s="261"/>
      <c r="R529" s="259">
        <v>0</v>
      </c>
      <c r="S529" s="260"/>
      <c r="T529" s="261"/>
      <c r="U529" s="259">
        <v>0</v>
      </c>
      <c r="V529" s="260"/>
      <c r="W529" s="261"/>
      <c r="X529" s="259">
        <v>0</v>
      </c>
      <c r="Y529" s="260"/>
      <c r="Z529" s="261"/>
      <c r="AA529" s="259">
        <v>0</v>
      </c>
      <c r="AB529" s="260"/>
      <c r="AC529" s="261"/>
      <c r="AD529" s="259">
        <v>0</v>
      </c>
      <c r="AE529" s="260"/>
      <c r="AF529" s="261"/>
      <c r="AG529" s="259">
        <v>0</v>
      </c>
      <c r="AH529" s="260"/>
      <c r="AI529" s="261"/>
      <c r="AJ529" s="259">
        <v>0</v>
      </c>
      <c r="AK529" s="260"/>
      <c r="AL529" s="261"/>
      <c r="AM529" s="142">
        <f>IF(O529=0,0,1)</f>
        <v>0</v>
      </c>
      <c r="AN529" s="142">
        <f>IF(R529=0,0,1)</f>
        <v>0</v>
      </c>
      <c r="AO529" s="142">
        <f>IF(U529=0,0,1)</f>
        <v>0</v>
      </c>
      <c r="AP529" s="142">
        <f>IF(X529=0,0,1)</f>
        <v>0</v>
      </c>
      <c r="AQ529" s="142">
        <f>IF(AA529=0,0,1)</f>
        <v>0</v>
      </c>
      <c r="AR529" s="142">
        <f>IF(AD529=0,0,1)</f>
        <v>0</v>
      </c>
      <c r="AS529" s="142">
        <f>IF(AG529=0,0,1)</f>
        <v>0</v>
      </c>
      <c r="AT529" s="142">
        <f>IF(AJ529=0,0,1)</f>
        <v>0</v>
      </c>
      <c r="AU529" s="137"/>
      <c r="AV529" s="137"/>
      <c r="AW529" s="137"/>
      <c r="AX529" s="137"/>
      <c r="AY529" s="137"/>
      <c r="AZ529" s="137"/>
      <c r="BA529" s="137"/>
      <c r="BB529" s="137"/>
    </row>
    <row r="530" spans="1:54" s="4" customFormat="1" ht="11.25" x14ac:dyDescent="0.2">
      <c r="A530" s="311"/>
      <c r="B530" s="79" t="s">
        <v>300</v>
      </c>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196"/>
      <c r="AH530" s="196"/>
      <c r="AI530" s="196"/>
      <c r="AJ530" s="196"/>
      <c r="AK530" s="196"/>
      <c r="AL530" s="196"/>
      <c r="AM530" s="142"/>
      <c r="AN530" s="142"/>
      <c r="AO530" s="142"/>
      <c r="AP530" s="142"/>
      <c r="AQ530" s="142"/>
      <c r="AR530" s="142"/>
      <c r="AS530" s="142"/>
      <c r="AT530" s="142"/>
      <c r="AU530" s="137"/>
      <c r="AV530" s="137"/>
      <c r="AW530" s="137"/>
      <c r="AX530" s="137"/>
      <c r="AY530" s="137"/>
      <c r="AZ530" s="137"/>
      <c r="BA530" s="137"/>
      <c r="BB530" s="137"/>
    </row>
    <row r="531" spans="1:54" s="4" customFormat="1" ht="11.25" x14ac:dyDescent="0.2">
      <c r="A531" s="311"/>
      <c r="B531" s="173">
        <v>12</v>
      </c>
      <c r="C531" s="174" t="s">
        <v>303</v>
      </c>
      <c r="D531" s="174"/>
      <c r="E531" s="174"/>
      <c r="F531" s="174"/>
      <c r="G531" s="174"/>
      <c r="H531" s="174"/>
      <c r="I531" s="174"/>
      <c r="J531" s="174"/>
      <c r="K531" s="174"/>
      <c r="L531" s="174"/>
      <c r="M531" s="174"/>
      <c r="N531" s="175"/>
      <c r="O531" s="262">
        <v>0</v>
      </c>
      <c r="P531" s="262"/>
      <c r="Q531" s="263"/>
      <c r="R531" s="264">
        <v>0</v>
      </c>
      <c r="S531" s="262"/>
      <c r="T531" s="263"/>
      <c r="U531" s="264">
        <v>0</v>
      </c>
      <c r="V531" s="262"/>
      <c r="W531" s="263"/>
      <c r="X531" s="264">
        <v>0</v>
      </c>
      <c r="Y531" s="262"/>
      <c r="Z531" s="263"/>
      <c r="AA531" s="264">
        <v>0</v>
      </c>
      <c r="AB531" s="262"/>
      <c r="AC531" s="263"/>
      <c r="AD531" s="264">
        <v>0</v>
      </c>
      <c r="AE531" s="262"/>
      <c r="AF531" s="263"/>
      <c r="AG531" s="264">
        <v>0</v>
      </c>
      <c r="AH531" s="262"/>
      <c r="AI531" s="263"/>
      <c r="AJ531" s="264">
        <v>0</v>
      </c>
      <c r="AK531" s="262"/>
      <c r="AL531" s="262"/>
      <c r="AM531" s="142">
        <f>IF(O531=0,0,1)</f>
        <v>0</v>
      </c>
      <c r="AN531" s="142">
        <f>IF(R531=0,0,1)</f>
        <v>0</v>
      </c>
      <c r="AO531" s="142">
        <f>IF(U531=0,0,1)</f>
        <v>0</v>
      </c>
      <c r="AP531" s="142">
        <f>IF(X531=0,0,1)</f>
        <v>0</v>
      </c>
      <c r="AQ531" s="142">
        <f>IF(AA531=0,0,1)</f>
        <v>0</v>
      </c>
      <c r="AR531" s="142">
        <f>IF(AD531=0,0,1)</f>
        <v>0</v>
      </c>
      <c r="AS531" s="142">
        <f>IF(AG531=0,0,1)</f>
        <v>0</v>
      </c>
      <c r="AT531" s="142">
        <f>IF(AJ531=0,0,1)</f>
        <v>0</v>
      </c>
      <c r="AU531" s="137">
        <f t="shared" ref="AU531:BB531" si="134">IF(AND(SUM(AM514:AM534)&gt;0,AM531=0,AM532&gt;0),1,0)</f>
        <v>0</v>
      </c>
      <c r="AV531" s="137">
        <f t="shared" si="134"/>
        <v>0</v>
      </c>
      <c r="AW531" s="137">
        <f t="shared" si="134"/>
        <v>0</v>
      </c>
      <c r="AX531" s="137">
        <f t="shared" si="134"/>
        <v>0</v>
      </c>
      <c r="AY531" s="137">
        <f t="shared" si="134"/>
        <v>0</v>
      </c>
      <c r="AZ531" s="137">
        <f t="shared" si="134"/>
        <v>0</v>
      </c>
      <c r="BA531" s="137">
        <f t="shared" si="134"/>
        <v>0</v>
      </c>
      <c r="BB531" s="137">
        <f t="shared" si="134"/>
        <v>0</v>
      </c>
    </row>
    <row r="532" spans="1:54" s="4" customFormat="1" ht="11.25" x14ac:dyDescent="0.2">
      <c r="A532" s="311"/>
      <c r="B532" s="173">
        <v>13</v>
      </c>
      <c r="C532" s="174" t="s">
        <v>304</v>
      </c>
      <c r="D532" s="174"/>
      <c r="E532" s="174"/>
      <c r="F532" s="174"/>
      <c r="G532" s="174"/>
      <c r="H532" s="174"/>
      <c r="I532" s="174"/>
      <c r="J532" s="174"/>
      <c r="K532" s="174"/>
      <c r="L532" s="174"/>
      <c r="M532" s="174"/>
      <c r="N532" s="175"/>
      <c r="O532" s="260">
        <v>0</v>
      </c>
      <c r="P532" s="260"/>
      <c r="Q532" s="261"/>
      <c r="R532" s="259">
        <v>0</v>
      </c>
      <c r="S532" s="260"/>
      <c r="T532" s="261"/>
      <c r="U532" s="259">
        <v>0</v>
      </c>
      <c r="V532" s="260"/>
      <c r="W532" s="261"/>
      <c r="X532" s="259">
        <v>0</v>
      </c>
      <c r="Y532" s="260"/>
      <c r="Z532" s="261"/>
      <c r="AA532" s="259">
        <v>0</v>
      </c>
      <c r="AB532" s="260"/>
      <c r="AC532" s="261"/>
      <c r="AD532" s="259">
        <v>0</v>
      </c>
      <c r="AE532" s="260"/>
      <c r="AF532" s="261"/>
      <c r="AG532" s="259">
        <v>0</v>
      </c>
      <c r="AH532" s="260"/>
      <c r="AI532" s="261"/>
      <c r="AJ532" s="259">
        <v>0</v>
      </c>
      <c r="AK532" s="260"/>
      <c r="AL532" s="260"/>
      <c r="AM532" s="142">
        <f>IF(O532=0,0,1)</f>
        <v>0</v>
      </c>
      <c r="AN532" s="142">
        <f>IF(R532=0,0,1)</f>
        <v>0</v>
      </c>
      <c r="AO532" s="142">
        <f>IF(U532=0,0,1)</f>
        <v>0</v>
      </c>
      <c r="AP532" s="142">
        <f>IF(X532=0,0,1)</f>
        <v>0</v>
      </c>
      <c r="AQ532" s="142">
        <f>IF(AA532=0,0,1)</f>
        <v>0</v>
      </c>
      <c r="AR532" s="142">
        <f>IF(AD532=0,0,1)</f>
        <v>0</v>
      </c>
      <c r="AS532" s="142">
        <f>IF(AG532=0,0,1)</f>
        <v>0</v>
      </c>
      <c r="AT532" s="142">
        <f>IF(AJ532=0,0,1)</f>
        <v>0</v>
      </c>
      <c r="AU532" s="137"/>
      <c r="AV532" s="137"/>
      <c r="AW532" s="137"/>
      <c r="AX532" s="137"/>
      <c r="AY532" s="137"/>
      <c r="AZ532" s="137"/>
      <c r="BA532" s="137"/>
      <c r="BB532" s="137"/>
    </row>
    <row r="533" spans="1:54" s="4" customFormat="1" ht="11.25" x14ac:dyDescent="0.2">
      <c r="A533" s="311"/>
      <c r="B533" s="79" t="s">
        <v>313</v>
      </c>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196"/>
      <c r="AH533" s="196"/>
      <c r="AI533" s="196"/>
      <c r="AJ533" s="196"/>
      <c r="AK533" s="196"/>
      <c r="AL533" s="196"/>
      <c r="AM533" s="142"/>
      <c r="AN533" s="142"/>
      <c r="AO533" s="142"/>
      <c r="AP533" s="142"/>
      <c r="AQ533" s="142"/>
      <c r="AR533" s="142"/>
      <c r="AS533" s="142"/>
      <c r="AT533" s="142"/>
      <c r="AU533" s="137"/>
      <c r="AV533" s="137"/>
      <c r="AW533" s="137"/>
      <c r="AX533" s="137"/>
      <c r="AY533" s="137"/>
      <c r="AZ533" s="137"/>
      <c r="BA533" s="137"/>
      <c r="BB533" s="137"/>
    </row>
    <row r="534" spans="1:54" s="4" customFormat="1" ht="11.25" x14ac:dyDescent="0.2">
      <c r="A534" s="311"/>
      <c r="B534" s="173">
        <v>14</v>
      </c>
      <c r="C534" s="174" t="s">
        <v>314</v>
      </c>
      <c r="D534" s="174"/>
      <c r="E534" s="174"/>
      <c r="F534" s="174"/>
      <c r="G534" s="174"/>
      <c r="H534" s="174"/>
      <c r="I534" s="174"/>
      <c r="J534" s="174"/>
      <c r="K534" s="174"/>
      <c r="L534" s="174"/>
      <c r="M534" s="174"/>
      <c r="N534" s="175"/>
      <c r="O534" s="262">
        <v>0</v>
      </c>
      <c r="P534" s="262"/>
      <c r="Q534" s="263"/>
      <c r="R534" s="264">
        <v>0</v>
      </c>
      <c r="S534" s="262"/>
      <c r="T534" s="263"/>
      <c r="U534" s="264">
        <v>0</v>
      </c>
      <c r="V534" s="262"/>
      <c r="W534" s="263"/>
      <c r="X534" s="264">
        <v>0</v>
      </c>
      <c r="Y534" s="262"/>
      <c r="Z534" s="263"/>
      <c r="AA534" s="264">
        <v>0</v>
      </c>
      <c r="AB534" s="262"/>
      <c r="AC534" s="263"/>
      <c r="AD534" s="264">
        <v>0</v>
      </c>
      <c r="AE534" s="262"/>
      <c r="AF534" s="263"/>
      <c r="AG534" s="264">
        <v>0</v>
      </c>
      <c r="AH534" s="262"/>
      <c r="AI534" s="263"/>
      <c r="AJ534" s="264">
        <v>0</v>
      </c>
      <c r="AK534" s="262"/>
      <c r="AL534" s="263"/>
      <c r="AM534" s="142">
        <f>IF(O534=0,0,1)</f>
        <v>0</v>
      </c>
      <c r="AN534" s="142">
        <f>IF(R534=0,0,1)</f>
        <v>0</v>
      </c>
      <c r="AO534" s="142">
        <f>IF(U534=0,0,1)</f>
        <v>0</v>
      </c>
      <c r="AP534" s="142">
        <f>IF(X534=0,0,1)</f>
        <v>0</v>
      </c>
      <c r="AQ534" s="142">
        <f>IF(AA534=0,0,1)</f>
        <v>0</v>
      </c>
      <c r="AR534" s="142">
        <f>IF(AD534=0,0,1)</f>
        <v>0</v>
      </c>
      <c r="AS534" s="142">
        <f>IF(AG534=0,0,1)</f>
        <v>0</v>
      </c>
      <c r="AT534" s="142">
        <f>IF(AJ534=0,0,1)</f>
        <v>0</v>
      </c>
      <c r="AU534" s="137"/>
      <c r="AV534" s="137"/>
      <c r="AW534" s="137"/>
      <c r="AX534" s="137"/>
      <c r="AY534" s="137"/>
      <c r="AZ534" s="137"/>
      <c r="BA534" s="137"/>
      <c r="BB534" s="137"/>
    </row>
    <row r="535" spans="1:54" s="4" customFormat="1" ht="11.25" x14ac:dyDescent="0.2">
      <c r="A535" s="311"/>
      <c r="B535" s="79" t="s">
        <v>93</v>
      </c>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196"/>
      <c r="AH535" s="196"/>
      <c r="AI535" s="196"/>
      <c r="AJ535" s="196"/>
      <c r="AK535" s="196"/>
      <c r="AL535" s="197"/>
      <c r="AN535" s="53" t="s">
        <v>452</v>
      </c>
      <c r="AO535" s="53" t="s">
        <v>453</v>
      </c>
      <c r="BB535" s="109" t="s">
        <v>510</v>
      </c>
    </row>
    <row r="536" spans="1:54" s="4" customFormat="1" ht="11.25" x14ac:dyDescent="0.2">
      <c r="A536" s="311"/>
      <c r="B536" s="122">
        <v>15</v>
      </c>
      <c r="C536" s="84" t="s">
        <v>315</v>
      </c>
      <c r="D536" s="84"/>
      <c r="E536" s="84"/>
      <c r="F536" s="84"/>
      <c r="G536" s="84"/>
      <c r="H536" s="84"/>
      <c r="I536" s="84"/>
      <c r="J536" s="84"/>
      <c r="K536" s="84"/>
      <c r="L536" s="84"/>
      <c r="M536" s="84"/>
      <c r="N536" s="85"/>
      <c r="O536" s="308">
        <f>SUM(O519+O522+O525+O528+O531)-O534</f>
        <v>0</v>
      </c>
      <c r="P536" s="308"/>
      <c r="Q536" s="309"/>
      <c r="R536" s="308">
        <f t="shared" ref="R536" si="135">SUM(R519+R522+R525+R528+R531)-R534</f>
        <v>0</v>
      </c>
      <c r="S536" s="308"/>
      <c r="T536" s="309"/>
      <c r="U536" s="308">
        <f t="shared" ref="U536" si="136">SUM(U519+U522+U525+U528+U531)-U534</f>
        <v>0</v>
      </c>
      <c r="V536" s="308"/>
      <c r="W536" s="309"/>
      <c r="X536" s="308">
        <f t="shared" ref="X536" si="137">SUM(X519+X522+X525+X528+X531)-X534</f>
        <v>0</v>
      </c>
      <c r="Y536" s="308"/>
      <c r="Z536" s="309"/>
      <c r="AA536" s="308">
        <f t="shared" ref="AA536" si="138">SUM(AA519+AA522+AA525+AA528+AA531)-AA534</f>
        <v>0</v>
      </c>
      <c r="AB536" s="308"/>
      <c r="AC536" s="309"/>
      <c r="AD536" s="308">
        <f t="shared" ref="AD536" si="139">SUM(AD519+AD522+AD525+AD528+AD531)-AD534</f>
        <v>0</v>
      </c>
      <c r="AE536" s="308"/>
      <c r="AF536" s="309"/>
      <c r="AG536" s="308">
        <f t="shared" ref="AG536" si="140">SUM(AG519+AG522+AG525+AG528+AG531)-AG534</f>
        <v>0</v>
      </c>
      <c r="AH536" s="308"/>
      <c r="AI536" s="309"/>
      <c r="AJ536" s="308">
        <f t="shared" ref="AJ536" si="141">SUM(AJ519+AJ522+AJ525+AJ528+AJ531)-AJ534</f>
        <v>0</v>
      </c>
      <c r="AK536" s="308"/>
      <c r="AL536" s="309"/>
      <c r="AN536" s="8" t="s">
        <v>401</v>
      </c>
      <c r="AO536" s="53" t="s">
        <v>401</v>
      </c>
      <c r="AQ536" s="10" t="s">
        <v>473</v>
      </c>
      <c r="AR536" s="4">
        <f t="shared" ref="AR536:AY536" si="142">IF(AND(SUM(AM525:AM526)&gt;0,OR(SUM(AM519:AM523)&gt;0,SUM(AM528:AM534)&gt;0)),1,0)</f>
        <v>0</v>
      </c>
      <c r="AS536" s="4">
        <f t="shared" si="142"/>
        <v>0</v>
      </c>
      <c r="AT536" s="4">
        <f t="shared" si="142"/>
        <v>0</v>
      </c>
      <c r="AU536" s="4">
        <f t="shared" si="142"/>
        <v>0</v>
      </c>
      <c r="AV536" s="4">
        <f t="shared" si="142"/>
        <v>0</v>
      </c>
      <c r="AW536" s="4">
        <f t="shared" si="142"/>
        <v>0</v>
      </c>
      <c r="AX536" s="4">
        <f t="shared" si="142"/>
        <v>0</v>
      </c>
      <c r="AY536" s="4">
        <f t="shared" si="142"/>
        <v>0</v>
      </c>
      <c r="BA536" s="4" t="s">
        <v>523</v>
      </c>
      <c r="BB536" s="4">
        <f>IF(A538=CONCATENATE("Enter expenditure outputs for Facility-Based Housing Assistance. Total expenditures must equal $",TEXT(AO537,"#,##0.00")," You've entered $",TEXT(AO552,"#,##0.00"),"."),1,0)</f>
        <v>0</v>
      </c>
    </row>
    <row r="537" spans="1:54" s="4" customFormat="1" ht="11.25" x14ac:dyDescent="0.2">
      <c r="A537" s="312"/>
      <c r="B537" s="122">
        <v>16</v>
      </c>
      <c r="C537" s="84" t="s">
        <v>316</v>
      </c>
      <c r="D537" s="84"/>
      <c r="E537" s="84"/>
      <c r="F537" s="84"/>
      <c r="G537" s="84"/>
      <c r="H537" s="84"/>
      <c r="I537" s="84"/>
      <c r="J537" s="84"/>
      <c r="K537" s="84"/>
      <c r="L537" s="84"/>
      <c r="M537" s="84"/>
      <c r="N537" s="85"/>
      <c r="O537" s="300">
        <f>SUM(O520+O523+O526+O529+O532)</f>
        <v>0</v>
      </c>
      <c r="P537" s="300"/>
      <c r="Q537" s="301"/>
      <c r="R537" s="300">
        <f t="shared" ref="R537" si="143">SUM(R520+R523+R526+R529+R532)</f>
        <v>0</v>
      </c>
      <c r="S537" s="300"/>
      <c r="T537" s="301"/>
      <c r="U537" s="300">
        <f t="shared" ref="U537" si="144">SUM(U520+U523+U526+U529+U532)</f>
        <v>0</v>
      </c>
      <c r="V537" s="300"/>
      <c r="W537" s="301"/>
      <c r="X537" s="300">
        <f t="shared" ref="X537" si="145">SUM(X520+X523+X526+X529+X532)</f>
        <v>0</v>
      </c>
      <c r="Y537" s="300"/>
      <c r="Z537" s="301"/>
      <c r="AA537" s="300">
        <f t="shared" ref="AA537" si="146">SUM(AA520+AA523+AA526+AA529+AA532)</f>
        <v>0</v>
      </c>
      <c r="AB537" s="300"/>
      <c r="AC537" s="301"/>
      <c r="AD537" s="300">
        <f t="shared" ref="AD537" si="147">SUM(AD520+AD523+AD526+AD529+AD532)</f>
        <v>0</v>
      </c>
      <c r="AE537" s="300"/>
      <c r="AF537" s="301"/>
      <c r="AG537" s="300">
        <f t="shared" ref="AG537" si="148">SUM(AG520+AG523+AG526+AG529+AG532)</f>
        <v>0</v>
      </c>
      <c r="AH537" s="300"/>
      <c r="AI537" s="301"/>
      <c r="AJ537" s="300">
        <f t="shared" ref="AJ537" si="149">SUM(AJ520+AJ523+AJ526+AJ529+AJ532)</f>
        <v>0</v>
      </c>
      <c r="AK537" s="300"/>
      <c r="AL537" s="301"/>
      <c r="AN537" s="8">
        <f>IF(AM513=1,AA164,0)</f>
        <v>0</v>
      </c>
      <c r="AO537" s="162">
        <f>IF(AM513=1,AJ164,0)</f>
        <v>0</v>
      </c>
      <c r="AQ537" s="10" t="s">
        <v>472</v>
      </c>
      <c r="AR537" s="4">
        <f>IF(AND(SUM(AM525:AM526)&gt;0,O517&lt;&gt;O525),1,0)</f>
        <v>0</v>
      </c>
      <c r="AS537" s="4">
        <f>IF(AND(SUM(AN525:AN526)&gt;0,R517&lt;&gt;R525),1,0)</f>
        <v>0</v>
      </c>
      <c r="AT537" s="4">
        <f>IF(AND(SUM(AO525:AO526)&gt;0,U517&lt;&gt;U525),1,0)</f>
        <v>0</v>
      </c>
      <c r="AU537" s="4">
        <f>IF(AND(SUM(AP525:AP526)&gt;0,X517&lt;&gt;X525),1,0)</f>
        <v>0</v>
      </c>
      <c r="AV537" s="4">
        <f>IF(AND(SUM(AQ525:AQ526)&gt;0,AA517&lt;&gt;AA525),1,0)</f>
        <v>0</v>
      </c>
      <c r="AW537" s="4">
        <f>IF(AND(SUM(AR525:AR526)&gt;0,AD517&lt;&gt;AD525),1,0)</f>
        <v>0</v>
      </c>
      <c r="AX537" s="4">
        <f>IF(AND(SUM(AS525:AS526)&gt;0,AG517&lt;&gt;AG525),1,0)</f>
        <v>0</v>
      </c>
      <c r="AY537" s="4">
        <f>IF(AND(SUM(AT525:AT526)&gt;0,AJ517&lt;&gt;AJ525),1,0)</f>
        <v>0</v>
      </c>
      <c r="BA537" s="4" t="s">
        <v>524</v>
      </c>
      <c r="BB537" s="4">
        <f>IF(A538=CONCATENATE("The number of households that received STSH services is ",AN542,". For this to be true, you need more households under Leasing, Operating, and/or Hotel/Motel."),1,0)</f>
        <v>0</v>
      </c>
    </row>
    <row r="538" spans="1:54" ht="12.75" x14ac:dyDescent="0.2">
      <c r="A538" s="254" t="str">
        <f>IF(BB559=1,"Error. If this is a semi-annual report, this section should be blank.",IF(NOT(AND(A41="Looking good! Proceed to Part 1.",A121="",A153="Looking good! Proceed to Part 2.",A201="Looking good! Proceed to Part 3.",A240="",A270="Looking good! Proceed to Part 4.",A305="Looking good! Proceed to Part 5: TBRA Outcomes.",B355="Looking good! Proceed to Part 5: STRMU Outcomes.",B402="Looking good! Proceed to Part 5: FBHA Outcomes.",B449="Looking good! Proceed to Part 5: PHP Outcomes.",B475="Looking good! Proceed to Part 5: Access to Care Outcomes.",B510="Looking good! Proceed to Part 6: Facility-Based Housing Assistance.")),"",IF(BB558=1,"",IF(AND(AM513=0,SUM(AM514:AT534)&gt;0),"Error. You have entered Facility-Based Housing Assistance data, but your coversheet indicates that you did not undertake this activity. Please resolve this discrepancy.",IF(AND(AM513=1,AO537&lt;&gt;AO552),CONCATENATE("Enter expenditure outputs for Facility-Based Housing Assistance. Total expenditures must equal $",TEXT(AO537,"#,##0.00")," You've entered $",TEXT(AO552,"#,##0.00"),"."),IF(AND(AM513=1,SUM(AR554)&gt;0),"Error. If you provided STSH services, then you must have expenditures under Leasing, Operating, and/or Hotel/Motel support.",IF(AND(AM513=1,SUM(AR555)&gt;0),"Error. If you provided TSH services, then you must have expenditures under Operating, Master-Leasing, and/or Project-Based Rental Assistance support.",IF(AR558=1,CONCATENATE("Error. You have not entered enough STSH expenditures under Leasing, Operating, and/or Hotel/Motel. Must total $",TEXT(AO542,"#,##0.00")," at minimum."),IF(AR559=1,CONCATENATE("Error. You have not entered enough TSH expenditures under Operating, Master-Leasing, and/or Project-Based Rental Assistance. Must total $",TEXT(AO543,"#,##0.00")," at minimum."),IF(AU558=1,"Error.",IF(AU559=1,"Error.",IF(AND(AM513=1,SUM(AR536:AY536)&gt;0),"Error. If this was a hotel/motel facility, then other sources of support for this facility should be blank.",IF(AND(AM513=1,SUM(AR544:AY544)&gt;0),"Error. You have indicated that this facility was not placed into service this year, but you have entered the number of units placed into service. Please resolve this discrepancy.",IF(AND(AM513=1,SUM(AR547:AY547)&gt;0),"Error. You have entered households under Leasing support for this facility, but you have not entered any expenditures.",IF(AND(AM513=1,SUM(AR548:AY548)&gt;0),"Error. You have entered households under Operating support for this facility, but you have not entered any expenditures.",IF(AND(AM513=1,SUM(AR549:AY549)&gt;0),"Error. You have entered households under Hotel/Motel support for this facility, but you have not entered any expenditures.",IF(AND(AM513=1,SUM(AR550:AY550)&gt;0),"Error. You have entered households under Master-Leasing support for this facility, but you have not entered any expenditures.",IF(AND(AM513=1,SUM(AR551:AY551)&gt;0),"Error. You have entered households under Project-Based Rental Assistance support for this facility, but you have not entered any expenditures.",IF(AND(AM513=1,SUM(AR538:AY538)&gt;0),"Error. The number of households that received Leasing support is greater than the number of households that received STSH services.",IF(AND(AM513=1,SUM(AR539:AY539)&gt;0),"Error. The number of households that received Operating support is greater than the number of households that received FBHA services.",IF(AND(AM513=1,SUM(AR540:AY540)&gt;0),"Error. The number of households that received Hotel/Motel support is greater than the number of households that received STSH services.",IF(AND(AM513=1,SUM(AR541:AY541)&gt;0),"Error. The number of households that received Master-Leasing support is greater than the number of households that received TSH services.",IF(AND(AM513=1,SUM(AR542:AY542)&gt;0),"Error. The number of households that received Project-Based Rental Assistance support is greater than the number of households that received TSH services.",IF(AND(AM513=1,SUM(AU514:BB534)&gt;0),"Complete the entry for facility information.",IF(AND(AM513=1,SUM(AR546:AY546)&gt;0),"If this was a hotel/motel facility, the facility must have been placed into service this year.",IF(AND(AM513=1,SUM(AR537:AY537)&gt;0),"If this was a hotel/motel facility, the number of households served must equal the number of units placed into service this year.",IF(AND(AM513=1,SUM(AR552)&gt;0),"You've not entered an adjustment for duplication, but your coversheet indicates some households received more than one type of FBHA support. Please resolve this discrepancy.",IF(AND(AM513=1,SUM(AR553)&gt;0),"You've entered an adjustment for duplication, but your coversheet indicates none of your households received more than one type of FBHA support. Please resolve this discrepancy.",IF(AND(AM513=1,SUM(AR543:AY543)&gt;0),"Row 15 cannot be less than the greater of Rows 4, 6, 8, 10, and 12. Reduce adjustment for duplication.",IF(AND(AM513=1,SUM(AR545:AY545)&gt;0),"Error. Total households for this facility cannot be greater than the number of households that received FBHA services.",IF(AND(AM513=1,SUM(AR556)&gt;0),CONCATENATE("The number of households that received STSH services is ",AN542,". For this to be true, you need more households under Leasing, Operating, and/or Hotel/Motel."),IF(AND(AM513=1,SUM(AR557)&gt;0),CONCATENATE("The number of households that received TSH services is ",AN543,". For this to be true, you need more households under Operating, Master-Leasing, and/or Project-Based Rental Assistance."),"Data validation is complete."))))))))))))))))))))))))))))))))</f>
        <v/>
      </c>
      <c r="B538" s="254"/>
      <c r="C538" s="254"/>
      <c r="D538" s="254"/>
      <c r="E538" s="254"/>
      <c r="F538" s="254"/>
      <c r="G538" s="254"/>
      <c r="H538" s="254"/>
      <c r="I538" s="254"/>
      <c r="J538" s="254"/>
      <c r="K538" s="254"/>
      <c r="L538" s="254"/>
      <c r="M538" s="254"/>
      <c r="N538" s="254"/>
      <c r="O538" s="254"/>
      <c r="P538" s="254"/>
      <c r="Q538" s="254"/>
      <c r="R538" s="254"/>
      <c r="S538" s="254"/>
      <c r="T538" s="254"/>
      <c r="U538" s="254"/>
      <c r="V538" s="254"/>
      <c r="W538" s="254"/>
      <c r="X538" s="254"/>
      <c r="Y538" s="254"/>
      <c r="Z538" s="254"/>
      <c r="AA538" s="254"/>
      <c r="AB538" s="254"/>
      <c r="AC538" s="254"/>
      <c r="AD538" s="254"/>
      <c r="AE538" s="254"/>
      <c r="AF538" s="254"/>
      <c r="AG538" s="254"/>
      <c r="AH538" s="254"/>
      <c r="AI538" s="254"/>
      <c r="AJ538" s="254"/>
      <c r="AK538" s="254"/>
      <c r="AL538" s="254"/>
      <c r="AM538" s="4" t="s">
        <v>455</v>
      </c>
      <c r="AN538" s="8">
        <f>IF(AM513=1,AA165,0)</f>
        <v>0</v>
      </c>
      <c r="AO538" s="162">
        <f>IF(AM513=1,AJ165,0)</f>
        <v>0</v>
      </c>
      <c r="AP538" s="4"/>
      <c r="AQ538" s="4" t="s">
        <v>465</v>
      </c>
      <c r="AR538" s="4">
        <f>IF(O519&gt;$AN$542,1,0)</f>
        <v>0</v>
      </c>
      <c r="AS538" s="4">
        <f>IF(R519&gt;$AN$542,1,0)</f>
        <v>0</v>
      </c>
      <c r="AT538" s="4">
        <f>IF(U519&gt;$AN$542,1,0)</f>
        <v>0</v>
      </c>
      <c r="AU538" s="4">
        <f>IF(X519&gt;$AN$542,1,0)</f>
        <v>0</v>
      </c>
      <c r="AV538" s="4">
        <f>IF(AA519&gt;$AN$542,1,0)</f>
        <v>0</v>
      </c>
      <c r="AW538" s="4">
        <f>IF(AD519&gt;$AN$542,1,0)</f>
        <v>0</v>
      </c>
      <c r="AX538" s="4">
        <f>IF(AG519&gt;$AN$542,1,0)</f>
        <v>0</v>
      </c>
      <c r="AY538" s="4">
        <f>IF(AJ519&gt;$AN$542,1,0)</f>
        <v>0</v>
      </c>
      <c r="AZ538" s="4"/>
      <c r="BA538" s="4" t="s">
        <v>525</v>
      </c>
      <c r="BB538" s="4">
        <f>IF(A538=CONCATENATE("The number of households that received TSH services is ",AN543,". For this to be true, you need more households under Operating, Master-Leasing, and/or Project-Based Rental Assistance."),1,0)</f>
        <v>0</v>
      </c>
    </row>
    <row r="539" spans="1:54" s="4" customFormat="1" ht="11.25" x14ac:dyDescent="0.2">
      <c r="AG539" s="213"/>
      <c r="AH539" s="213"/>
      <c r="AI539" s="213"/>
      <c r="AJ539" s="213"/>
      <c r="AK539" s="213"/>
      <c r="AL539" s="213"/>
      <c r="AM539" s="4" t="s">
        <v>456</v>
      </c>
      <c r="AN539" s="8">
        <f>IF(AM513=1,AA166,0)</f>
        <v>0</v>
      </c>
      <c r="AO539" s="162">
        <f>IF(AM513=1,AJ166,0)</f>
        <v>0</v>
      </c>
      <c r="AQ539" s="4" t="s">
        <v>469</v>
      </c>
      <c r="AR539" s="4">
        <f>IF(O522&gt;$AN$537,1,0)</f>
        <v>0</v>
      </c>
      <c r="AS539" s="4">
        <f>IF(R522&gt;$AN$537,1,0)</f>
        <v>0</v>
      </c>
      <c r="AT539" s="4">
        <f>IF(U522&gt;$AN$537,1,0)</f>
        <v>0</v>
      </c>
      <c r="AU539" s="4">
        <f>IF(X522&gt;$AN$537,1,0)</f>
        <v>0</v>
      </c>
      <c r="AV539" s="4">
        <f>IF(AA522&gt;$AN$537,1,0)</f>
        <v>0</v>
      </c>
      <c r="AW539" s="4">
        <f>IF(AD522&gt;$AN$537,1,0)</f>
        <v>0</v>
      </c>
      <c r="AX539" s="4">
        <f>IF(AG522&gt;$AN$537,1,0)</f>
        <v>0</v>
      </c>
      <c r="AY539" s="4">
        <f>IF(AJ522&gt;$AN$537,1,0)</f>
        <v>0</v>
      </c>
      <c r="BA539" s="4" t="s">
        <v>526</v>
      </c>
      <c r="BB539" s="4">
        <f>IF(A538=CONCATENATE("Error. You have not entered enough STSH expenditures under Leasing, Operating, and/or Hotel/Motel. Must total $",TEXT(AO542,"#,##0.00")," at minimum."),1,0)</f>
        <v>0</v>
      </c>
    </row>
    <row r="540" spans="1:54" s="4" customFormat="1" ht="11.25" x14ac:dyDescent="0.2">
      <c r="AG540" s="213"/>
      <c r="AH540" s="213"/>
      <c r="AI540" s="213"/>
      <c r="AJ540" s="213"/>
      <c r="AK540" s="213"/>
      <c r="AL540" s="213"/>
      <c r="AM540" s="4" t="s">
        <v>454</v>
      </c>
      <c r="AN540" s="8">
        <f>IF(AM513=1,AA167,0)</f>
        <v>0</v>
      </c>
      <c r="AQ540" s="4" t="s">
        <v>466</v>
      </c>
      <c r="AR540" s="4">
        <f>IF(O525&gt;$AN$542,1,0)</f>
        <v>0</v>
      </c>
      <c r="AS540" s="4">
        <f>IF(R525&gt;$AN$542,1,0)</f>
        <v>0</v>
      </c>
      <c r="AT540" s="4">
        <f>IF(U525&gt;$AN$542,1,0)</f>
        <v>0</v>
      </c>
      <c r="AU540" s="4">
        <f>IF(X525&gt;$AN$542,1,0)</f>
        <v>0</v>
      </c>
      <c r="AV540" s="4">
        <f>IF(AA525&gt;$AN$542,1,0)</f>
        <v>0</v>
      </c>
      <c r="AW540" s="4">
        <f>IF(AD525&gt;$AN$542,1,0)</f>
        <v>0</v>
      </c>
      <c r="AX540" s="4">
        <f>IF(AG525&gt;$AN$542,1,0)</f>
        <v>0</v>
      </c>
      <c r="AY540" s="4">
        <f>IF(AJ525&gt;$AN$542,1,0)</f>
        <v>0</v>
      </c>
      <c r="BA540" s="4" t="s">
        <v>527</v>
      </c>
      <c r="BB540" s="4">
        <f>IF(A538=CONCATENATE("Error. You have not entered enough TSH expenditures under Operating, Master-Leasing, and/or Project-Based Rental Assistance. Must total $",TEXT(AO543,"#,##0.00")," at minimum."),1,0)</f>
        <v>0</v>
      </c>
    </row>
    <row r="541" spans="1:54" s="4" customFormat="1" ht="11.25" x14ac:dyDescent="0.2">
      <c r="AG541" s="213"/>
      <c r="AH541" s="213"/>
      <c r="AI541" s="213"/>
      <c r="AJ541" s="213"/>
      <c r="AK541" s="213"/>
      <c r="AL541" s="213"/>
      <c r="AQ541" s="4" t="s">
        <v>467</v>
      </c>
      <c r="AR541" s="4">
        <f>IF(O528&gt;$AN$543,1,0)</f>
        <v>0</v>
      </c>
      <c r="AS541" s="4">
        <f>IF(R528&gt;$AN$543,1,0)</f>
        <v>0</v>
      </c>
      <c r="AT541" s="4">
        <f>IF(U528&gt;$AN$543,1,0)</f>
        <v>0</v>
      </c>
      <c r="AU541" s="4">
        <f>IF(X528&gt;$AN$543,1,0)</f>
        <v>0</v>
      </c>
      <c r="AV541" s="4">
        <f>IF(AA528&gt;$AN$543,1,0)</f>
        <v>0</v>
      </c>
      <c r="AW541" s="4">
        <f>IF(AD528&gt;$AN$543,1,0)</f>
        <v>0</v>
      </c>
      <c r="AX541" s="4">
        <f>IF(AG528&gt;$AN$543,1,0)</f>
        <v>0</v>
      </c>
      <c r="AY541" s="4">
        <f>IF(AJ528&gt;$AN$543,1,0)</f>
        <v>0</v>
      </c>
    </row>
    <row r="542" spans="1:54" s="4" customFormat="1" ht="11.25" x14ac:dyDescent="0.2">
      <c r="AG542" s="213"/>
      <c r="AH542" s="213"/>
      <c r="AI542" s="213"/>
      <c r="AJ542" s="213"/>
      <c r="AK542" s="213"/>
      <c r="AL542" s="213"/>
      <c r="AM542" s="4" t="s">
        <v>457</v>
      </c>
      <c r="AN542" s="4">
        <f>AN538+AN540</f>
        <v>0</v>
      </c>
      <c r="AO542" s="162">
        <f>AO538</f>
        <v>0</v>
      </c>
      <c r="AQ542" s="4" t="s">
        <v>468</v>
      </c>
      <c r="AR542" s="4">
        <f>IF(O531&gt;$AN$543,1,0)</f>
        <v>0</v>
      </c>
      <c r="AS542" s="4">
        <f>IF(R531&gt;$AN$543,1,0)</f>
        <v>0</v>
      </c>
      <c r="AT542" s="4">
        <f>IF(U531&gt;$AN$543,1,0)</f>
        <v>0</v>
      </c>
      <c r="AU542" s="4">
        <f>IF(X531&gt;$AN$543,1,0)</f>
        <v>0</v>
      </c>
      <c r="AV542" s="4">
        <f>IF(AA531&gt;$AN$543,1,0)</f>
        <v>0</v>
      </c>
      <c r="AW542" s="4">
        <f>IF(AD531&gt;$AN$543,1,0)</f>
        <v>0</v>
      </c>
      <c r="AX542" s="4">
        <f>IF(AG531&gt;$AN$543,1,0)</f>
        <v>0</v>
      </c>
      <c r="AY542" s="4">
        <f>IF(AJ531&gt;$AN$543,1,0)</f>
        <v>0</v>
      </c>
    </row>
    <row r="543" spans="1:54" s="4" customFormat="1" ht="11.25" x14ac:dyDescent="0.2">
      <c r="AG543" s="213"/>
      <c r="AH543" s="213"/>
      <c r="AI543" s="213"/>
      <c r="AJ543" s="213"/>
      <c r="AK543" s="213"/>
      <c r="AL543" s="213"/>
      <c r="AM543" s="4" t="s">
        <v>458</v>
      </c>
      <c r="AN543" s="4">
        <f>AN539+AN540</f>
        <v>0</v>
      </c>
      <c r="AO543" s="162">
        <f>AO539</f>
        <v>0</v>
      </c>
      <c r="AQ543" s="4" t="s">
        <v>464</v>
      </c>
      <c r="AR543" s="4">
        <f>IF(O536&lt;MAX(O519,O522,O525,O528,O531),1,0)</f>
        <v>0</v>
      </c>
      <c r="AS543" s="4">
        <f>IF(R536&lt;MAX(R519,R522,R525,R528,R531),1,0)</f>
        <v>0</v>
      </c>
      <c r="AT543" s="4">
        <f>IF(U536&lt;MAX(U519,U522,U525,U528,U531),1,0)</f>
        <v>0</v>
      </c>
      <c r="AU543" s="4">
        <f>IF(X536&lt;MAX(X519,X522,X525,X528,X531),1,0)</f>
        <v>0</v>
      </c>
      <c r="AV543" s="4">
        <f>IF(AA536&lt;MAX(AA519,AA522,AA525,AA528,AA531),1,0)</f>
        <v>0</v>
      </c>
      <c r="AW543" s="4">
        <f>IF(AD536&lt;MAX(AD519,AD522,AD525,AD528,AD531),1,0)</f>
        <v>0</v>
      </c>
      <c r="AX543" s="4">
        <f>IF(AG536&lt;MAX(AG519,AG522,AG525,AG528,AG531),1,0)</f>
        <v>0</v>
      </c>
      <c r="AY543" s="4">
        <f>IF(AJ536&lt;MAX(AJ519,AJ522,AJ525,AJ528,AJ531),1,0)</f>
        <v>0</v>
      </c>
    </row>
    <row r="544" spans="1:54" s="4" customFormat="1" ht="11.25" x14ac:dyDescent="0.2">
      <c r="AG544" s="213"/>
      <c r="AH544" s="213"/>
      <c r="AI544" s="213"/>
      <c r="AJ544" s="213"/>
      <c r="AK544" s="213"/>
      <c r="AL544" s="213"/>
      <c r="AQ544" s="4" t="s">
        <v>476</v>
      </c>
      <c r="AR544" s="4">
        <f>IF(AND(O516="No",O517&gt;0),1,0)</f>
        <v>0</v>
      </c>
      <c r="AS544" s="4">
        <f>IF(AND(R516="No",R517&gt;0),1,0)</f>
        <v>0</v>
      </c>
      <c r="AT544" s="4">
        <f>IF(AND(U516="No",U517&gt;0),1,0)</f>
        <v>0</v>
      </c>
      <c r="AU544" s="4">
        <f>IF(AND(X516="No",X517&gt;0),1,0)</f>
        <v>0</v>
      </c>
      <c r="AV544" s="4">
        <f>IF(AND(AA516="No",AA517&gt;0),1,0)</f>
        <v>0</v>
      </c>
      <c r="AW544" s="4">
        <f>IF(AND(AD516="No",AD517&gt;0),1,0)</f>
        <v>0</v>
      </c>
      <c r="AX544" s="4">
        <f>IF(AND(AG516="No",AG517&gt;0),1,0)</f>
        <v>0</v>
      </c>
      <c r="AY544" s="4">
        <f>IF(AND(AJ516="No",AJ517&gt;0),1,0)</f>
        <v>0</v>
      </c>
    </row>
    <row r="545" spans="33:54" s="4" customFormat="1" ht="11.25" x14ac:dyDescent="0.2">
      <c r="AG545" s="213"/>
      <c r="AH545" s="213"/>
      <c r="AI545" s="213"/>
      <c r="AJ545" s="213"/>
      <c r="AK545" s="213"/>
      <c r="AL545" s="213"/>
      <c r="AM545" s="4" t="s">
        <v>459</v>
      </c>
      <c r="AN545" s="4" t="s">
        <v>148</v>
      </c>
      <c r="AO545" s="162">
        <f>SUM(O520:AL520)</f>
        <v>0</v>
      </c>
      <c r="AQ545" s="4" t="s">
        <v>479</v>
      </c>
      <c r="AR545" s="4">
        <f>IF(O536&gt;$AN$537,1,0)</f>
        <v>0</v>
      </c>
      <c r="AS545" s="4">
        <f>IF(R536&gt;$AN$537,1,0)</f>
        <v>0</v>
      </c>
      <c r="AT545" s="4">
        <f>IF(U536&gt;$AN$537,1,0)</f>
        <v>0</v>
      </c>
      <c r="AU545" s="4">
        <f>IF(X536&gt;$AN$537,1,0)</f>
        <v>0</v>
      </c>
      <c r="AV545" s="4">
        <f>IF(AA536&gt;$AN$537,1,0)</f>
        <v>0</v>
      </c>
      <c r="AW545" s="4">
        <f>IF(AD536&gt;$AN$537,1,0)</f>
        <v>0</v>
      </c>
      <c r="AX545" s="4">
        <f>IF(AG536&gt;$AN$537,1,0)</f>
        <v>0</v>
      </c>
      <c r="AY545" s="4">
        <f>IF(AJ536&gt;AN537,1,0)</f>
        <v>0</v>
      </c>
    </row>
    <row r="546" spans="33:54" s="4" customFormat="1" ht="11.25" x14ac:dyDescent="0.2">
      <c r="AG546" s="213"/>
      <c r="AH546" s="213"/>
      <c r="AI546" s="213"/>
      <c r="AJ546" s="213"/>
      <c r="AK546" s="213"/>
      <c r="AL546" s="213"/>
      <c r="AN546" s="4" t="s">
        <v>149</v>
      </c>
      <c r="AO546" s="162">
        <f>SUM(O523:AL523)</f>
        <v>0</v>
      </c>
      <c r="AQ546" s="4" t="s">
        <v>480</v>
      </c>
      <c r="AR546" s="4">
        <f>IF(AND(AM526&gt;0,O516&lt;&gt;"Yes"),1,0)</f>
        <v>0</v>
      </c>
      <c r="AS546" s="4">
        <f>IF(AND(AN526&gt;0,R516&lt;&gt;"Yes"),1,0)</f>
        <v>0</v>
      </c>
      <c r="AT546" s="4">
        <f>IF(AND(AO526&gt;0,U516&lt;&gt;"Yes"),1,0)</f>
        <v>0</v>
      </c>
      <c r="AU546" s="4">
        <f>IF(AND(AP526&gt;0,X516&lt;&gt;"Yes"),1,0)</f>
        <v>0</v>
      </c>
      <c r="AV546" s="4">
        <f>IF(AND(AQ526&gt;0,AA516&lt;&gt;"Yes"),1,0)</f>
        <v>0</v>
      </c>
      <c r="AW546" s="4">
        <f>IF(AND(AR526&gt;0,AD516&lt;&gt;"Yes"),1,0)</f>
        <v>0</v>
      </c>
      <c r="AX546" s="4">
        <f>IF(AND(AS526&gt;0,AG516&lt;&gt;"Yes"),1,0)</f>
        <v>0</v>
      </c>
      <c r="AY546" s="4">
        <f>IF(AND(AT526&gt;0,AJ516&lt;&gt;"Yes"),1,0)</f>
        <v>0</v>
      </c>
    </row>
    <row r="547" spans="33:54" s="4" customFormat="1" ht="11.25" x14ac:dyDescent="0.2">
      <c r="AG547" s="213"/>
      <c r="AH547" s="213"/>
      <c r="AI547" s="213"/>
      <c r="AJ547" s="213"/>
      <c r="AK547" s="213"/>
      <c r="AL547" s="213"/>
      <c r="AN547" s="4" t="s">
        <v>460</v>
      </c>
      <c r="AO547" s="162">
        <f>SUM(O526:AL526)</f>
        <v>0</v>
      </c>
      <c r="AQ547" s="4" t="s">
        <v>481</v>
      </c>
      <c r="AR547" s="4">
        <f t="shared" ref="AR547:AY547" si="150">IF(AND(AM519&gt;0,AM520=0),1,0)</f>
        <v>0</v>
      </c>
      <c r="AS547" s="4">
        <f t="shared" si="150"/>
        <v>0</v>
      </c>
      <c r="AT547" s="4">
        <f t="shared" si="150"/>
        <v>0</v>
      </c>
      <c r="AU547" s="4">
        <f t="shared" si="150"/>
        <v>0</v>
      </c>
      <c r="AV547" s="4">
        <f t="shared" si="150"/>
        <v>0</v>
      </c>
      <c r="AW547" s="4">
        <f t="shared" si="150"/>
        <v>0</v>
      </c>
      <c r="AX547" s="4">
        <f t="shared" si="150"/>
        <v>0</v>
      </c>
      <c r="AY547" s="4">
        <f t="shared" si="150"/>
        <v>0</v>
      </c>
    </row>
    <row r="548" spans="33:54" s="4" customFormat="1" ht="11.25" x14ac:dyDescent="0.2">
      <c r="AG548" s="213"/>
      <c r="AH548" s="213"/>
      <c r="AI548" s="213"/>
      <c r="AJ548" s="213"/>
      <c r="AK548" s="213"/>
      <c r="AL548" s="213"/>
      <c r="AM548" s="4" t="s">
        <v>461</v>
      </c>
      <c r="AN548" s="4" t="s">
        <v>149</v>
      </c>
      <c r="AO548" s="162">
        <f>SUM(O523:AL523)</f>
        <v>0</v>
      </c>
      <c r="AQ548" s="4" t="s">
        <v>482</v>
      </c>
      <c r="AR548" s="4">
        <f t="shared" ref="AR548:AY548" si="151">IF(AND(AM522&gt;0,AM523=0),1,0)</f>
        <v>0</v>
      </c>
      <c r="AS548" s="4">
        <f t="shared" si="151"/>
        <v>0</v>
      </c>
      <c r="AT548" s="4">
        <f t="shared" si="151"/>
        <v>0</v>
      </c>
      <c r="AU548" s="4">
        <f t="shared" si="151"/>
        <v>0</v>
      </c>
      <c r="AV548" s="4">
        <f t="shared" si="151"/>
        <v>0</v>
      </c>
      <c r="AW548" s="4">
        <f t="shared" si="151"/>
        <v>0</v>
      </c>
      <c r="AX548" s="4">
        <f t="shared" si="151"/>
        <v>0</v>
      </c>
      <c r="AY548" s="4">
        <f t="shared" si="151"/>
        <v>0</v>
      </c>
    </row>
    <row r="549" spans="33:54" s="4" customFormat="1" ht="11.25" x14ac:dyDescent="0.2">
      <c r="AG549" s="213"/>
      <c r="AH549" s="213"/>
      <c r="AI549" s="213"/>
      <c r="AJ549" s="213"/>
      <c r="AK549" s="213"/>
      <c r="AL549" s="213"/>
      <c r="AN549" s="4" t="s">
        <v>154</v>
      </c>
      <c r="AO549" s="162">
        <f>SUM(O529:AL529)</f>
        <v>0</v>
      </c>
      <c r="AQ549" s="4" t="s">
        <v>483</v>
      </c>
      <c r="AR549" s="4">
        <f t="shared" ref="AR549:AY549" si="152">IF(AND(AM525&gt;0,AM526=0),1,0)</f>
        <v>0</v>
      </c>
      <c r="AS549" s="4">
        <f t="shared" si="152"/>
        <v>0</v>
      </c>
      <c r="AT549" s="4">
        <f t="shared" si="152"/>
        <v>0</v>
      </c>
      <c r="AU549" s="4">
        <f t="shared" si="152"/>
        <v>0</v>
      </c>
      <c r="AV549" s="4">
        <f t="shared" si="152"/>
        <v>0</v>
      </c>
      <c r="AW549" s="4">
        <f t="shared" si="152"/>
        <v>0</v>
      </c>
      <c r="AX549" s="4">
        <f t="shared" si="152"/>
        <v>0</v>
      </c>
      <c r="AY549" s="4">
        <f t="shared" si="152"/>
        <v>0</v>
      </c>
    </row>
    <row r="550" spans="33:54" s="4" customFormat="1" ht="11.25" x14ac:dyDescent="0.2">
      <c r="AG550" s="213"/>
      <c r="AH550" s="213"/>
      <c r="AI550" s="213"/>
      <c r="AJ550" s="213"/>
      <c r="AK550" s="213"/>
      <c r="AL550" s="213"/>
      <c r="AN550" s="4" t="s">
        <v>462</v>
      </c>
      <c r="AO550" s="162">
        <f>SUM(O532:AL532)</f>
        <v>0</v>
      </c>
      <c r="AQ550" s="4" t="s">
        <v>484</v>
      </c>
      <c r="AR550" s="4">
        <f t="shared" ref="AR550:AY550" si="153">IF(AND(AM528&gt;0,AM529=0),1,0)</f>
        <v>0</v>
      </c>
      <c r="AS550" s="4">
        <f t="shared" si="153"/>
        <v>0</v>
      </c>
      <c r="AT550" s="4">
        <f t="shared" si="153"/>
        <v>0</v>
      </c>
      <c r="AU550" s="4">
        <f t="shared" si="153"/>
        <v>0</v>
      </c>
      <c r="AV550" s="4">
        <f t="shared" si="153"/>
        <v>0</v>
      </c>
      <c r="AW550" s="4">
        <f t="shared" si="153"/>
        <v>0</v>
      </c>
      <c r="AX550" s="4">
        <f t="shared" si="153"/>
        <v>0</v>
      </c>
      <c r="AY550" s="4">
        <f t="shared" si="153"/>
        <v>0</v>
      </c>
    </row>
    <row r="551" spans="33:54" s="4" customFormat="1" ht="11.25" x14ac:dyDescent="0.2">
      <c r="AG551" s="213"/>
      <c r="AH551" s="213"/>
      <c r="AI551" s="213"/>
      <c r="AJ551" s="213"/>
      <c r="AK551" s="213"/>
      <c r="AL551" s="213"/>
      <c r="AQ551" s="4" t="s">
        <v>485</v>
      </c>
      <c r="AR551" s="4">
        <f t="shared" ref="AR551:AY551" si="154">IF(AND(AM531&gt;0,AM532=0),1,0)</f>
        <v>0</v>
      </c>
      <c r="AS551" s="4">
        <f t="shared" si="154"/>
        <v>0</v>
      </c>
      <c r="AT551" s="4">
        <f t="shared" si="154"/>
        <v>0</v>
      </c>
      <c r="AU551" s="4">
        <f t="shared" si="154"/>
        <v>0</v>
      </c>
      <c r="AV551" s="4">
        <f t="shared" si="154"/>
        <v>0</v>
      </c>
      <c r="AW551" s="4">
        <f t="shared" si="154"/>
        <v>0</v>
      </c>
      <c r="AX551" s="4">
        <f t="shared" si="154"/>
        <v>0</v>
      </c>
      <c r="AY551" s="4">
        <f t="shared" si="154"/>
        <v>0</v>
      </c>
    </row>
    <row r="552" spans="33:54" s="4" customFormat="1" ht="11.25" x14ac:dyDescent="0.2">
      <c r="AG552" s="213"/>
      <c r="AH552" s="213"/>
      <c r="AI552" s="213"/>
      <c r="AJ552" s="213"/>
      <c r="AK552" s="213"/>
      <c r="AL552" s="213"/>
      <c r="AM552" s="4" t="s">
        <v>463</v>
      </c>
      <c r="AO552" s="162">
        <f>SUM(O537:AL537)</f>
        <v>0</v>
      </c>
      <c r="AQ552" s="4" t="s">
        <v>474</v>
      </c>
      <c r="AR552" s="4">
        <f>IF(AND(AM559=1,SUM(AM534:AT534)=0),1,0)</f>
        <v>0</v>
      </c>
    </row>
    <row r="553" spans="33:54" s="4" customFormat="1" ht="11.25" x14ac:dyDescent="0.2">
      <c r="AG553" s="213"/>
      <c r="AH553" s="213"/>
      <c r="AI553" s="213"/>
      <c r="AJ553" s="213"/>
      <c r="AK553" s="213"/>
      <c r="AL553" s="213"/>
      <c r="AQ553" s="4" t="s">
        <v>475</v>
      </c>
      <c r="AR553" s="4">
        <f>IF(AND(AM559=0,SUM(AM534:AT534)&gt;0),1,0)</f>
        <v>0</v>
      </c>
    </row>
    <row r="554" spans="33:54" s="4" customFormat="1" ht="11.25" x14ac:dyDescent="0.2">
      <c r="AG554" s="213"/>
      <c r="AH554" s="213"/>
      <c r="AI554" s="213"/>
      <c r="AJ554" s="213"/>
      <c r="AK554" s="213"/>
      <c r="AL554" s="213"/>
      <c r="AM554" s="226" t="s">
        <v>349</v>
      </c>
      <c r="AQ554" s="4" t="s">
        <v>477</v>
      </c>
      <c r="AR554" s="4">
        <f>IF(AND(AO542&gt;0,(SUM(O520:AL520)+SUM(O523:AL523)+SUM(O526:AL526))=0),1,0)</f>
        <v>0</v>
      </c>
    </row>
    <row r="555" spans="33:54" s="4" customFormat="1" ht="11.25" x14ac:dyDescent="0.2">
      <c r="AG555" s="213"/>
      <c r="AH555" s="213"/>
      <c r="AI555" s="213"/>
      <c r="AJ555" s="213"/>
      <c r="AK555" s="213"/>
      <c r="AL555" s="213"/>
      <c r="AM555" s="227"/>
      <c r="AQ555" s="4" t="s">
        <v>478</v>
      </c>
      <c r="AR555" s="4">
        <f>IF(AND(AO543&gt;0,(SUM(O523:AL523)+SUM(O529:AL529)+SUM(O532:AL532))=0),1,0)</f>
        <v>0</v>
      </c>
    </row>
    <row r="556" spans="33:54" s="4" customFormat="1" ht="11.25" x14ac:dyDescent="0.2">
      <c r="AG556" s="213"/>
      <c r="AH556" s="213"/>
      <c r="AI556" s="213"/>
      <c r="AJ556" s="213"/>
      <c r="AK556" s="213"/>
      <c r="AL556" s="213"/>
      <c r="AM556" s="228" t="s">
        <v>219</v>
      </c>
      <c r="AQ556" s="4" t="s">
        <v>487</v>
      </c>
      <c r="AR556" s="4">
        <f>IF((SUM(O519:AL519)+SUM(O522:AL522)+SUM(O525:AL525))&lt;AN542,1,0)</f>
        <v>0</v>
      </c>
    </row>
    <row r="557" spans="33:54" s="4" customFormat="1" ht="11.25" x14ac:dyDescent="0.2">
      <c r="AG557" s="213"/>
      <c r="AH557" s="213"/>
      <c r="AI557" s="213"/>
      <c r="AJ557" s="213"/>
      <c r="AK557" s="213"/>
      <c r="AL557" s="213"/>
      <c r="AM557" s="229" t="s">
        <v>220</v>
      </c>
      <c r="AQ557" s="4" t="s">
        <v>488</v>
      </c>
      <c r="AR557" s="4">
        <f>IF((SUM(O522:AL522)+SUM(O528:AL528)+SUM(O531:AL531))&lt;AN543,1,0)</f>
        <v>0</v>
      </c>
    </row>
    <row r="558" spans="33:54" s="4" customFormat="1" ht="11.25" x14ac:dyDescent="0.2">
      <c r="AG558" s="213"/>
      <c r="AH558" s="213"/>
      <c r="AI558" s="213"/>
      <c r="AJ558" s="213"/>
      <c r="AK558" s="213"/>
      <c r="AL558" s="213"/>
      <c r="AM558" s="4" t="s">
        <v>375</v>
      </c>
      <c r="AO558" s="53" t="s">
        <v>365</v>
      </c>
      <c r="AQ558" s="4" t="s">
        <v>526</v>
      </c>
      <c r="AR558" s="4">
        <f>IF(AND(AO542&gt;0,(SUM(O520:AL520)+SUM(O523:AL523)+SUM(O526:AL526))&lt;AO542),1,0)</f>
        <v>0</v>
      </c>
      <c r="BA558" s="52" t="s">
        <v>511</v>
      </c>
      <c r="BB558" s="52">
        <f>$AQ$23</f>
        <v>0</v>
      </c>
    </row>
    <row r="559" spans="33:54" s="4" customFormat="1" ht="11.25" x14ac:dyDescent="0.2">
      <c r="AG559" s="213"/>
      <c r="AH559" s="213"/>
      <c r="AI559" s="213"/>
      <c r="AJ559" s="213"/>
      <c r="AK559" s="213"/>
      <c r="AL559" s="213"/>
      <c r="AM559" s="4">
        <f>IF(AJ31="Yes",1,0)</f>
        <v>0</v>
      </c>
      <c r="AO559" s="230">
        <f>IF(BB558=1,1,IF(AM513=0,1,IF(AND(AM513=1,A538="Data validation is complete.",SUM(AM514:AT534)&gt;0,SUM(AU514:BB534)=0,SUM(AR536:AY551)=0,SUM(AR552:AR559)=0),1,0)))</f>
        <v>1</v>
      </c>
      <c r="AQ559" s="4" t="s">
        <v>527</v>
      </c>
      <c r="AR559" s="4">
        <f>IF(AND(AO543&gt;0,(SUM(O523:AL523)+SUM(O529:AL529)+SUM(O532:AL532))&lt;AO543),1,0)</f>
        <v>0</v>
      </c>
      <c r="BA559" s="4" t="s">
        <v>513</v>
      </c>
      <c r="BB559" s="163">
        <f>IF(AND($AV$23=1,(SUM(AM514:AT534))&gt;0),1,0)</f>
        <v>0</v>
      </c>
    </row>
    <row r="560" spans="33:54" s="4" customFormat="1" ht="11.25" x14ac:dyDescent="0.2">
      <c r="AG560" s="213"/>
      <c r="AH560" s="213"/>
      <c r="AI560" s="213"/>
      <c r="AJ560" s="213"/>
      <c r="AK560" s="213"/>
      <c r="AL560" s="213"/>
    </row>
    <row r="561" spans="33:43" s="4" customFormat="1" ht="11.25" x14ac:dyDescent="0.2">
      <c r="AG561" s="213"/>
      <c r="AH561" s="213"/>
      <c r="AI561" s="213"/>
      <c r="AJ561" s="213"/>
      <c r="AK561" s="213"/>
      <c r="AL561" s="213"/>
    </row>
    <row r="562" spans="33:43" s="4" customFormat="1" ht="11.25" x14ac:dyDescent="0.2">
      <c r="AG562" s="213"/>
      <c r="AH562" s="213"/>
      <c r="AI562" s="213"/>
      <c r="AJ562" s="213"/>
      <c r="AK562" s="213"/>
      <c r="AL562" s="213"/>
    </row>
    <row r="563" spans="33:43" s="4" customFormat="1" ht="11.25" x14ac:dyDescent="0.2"/>
    <row r="564" spans="33:43" s="4" customFormat="1" ht="11.25" x14ac:dyDescent="0.2"/>
    <row r="565" spans="33:43" x14ac:dyDescent="0.2">
      <c r="AQ565" s="4"/>
    </row>
  </sheetData>
  <sheetProtection algorithmName="SHA-512" hashValue="Mgf/QTcb1A7KYZVx8cmJAEE7DBqn1kZwK1jq52mMGP65d6VgiyQUJXzbPj8bytVb9ntOqp6FdzErxmlUPJr7tw==" saltValue="aV0X7x1OczvXDilXNgqD4w==" spinCount="100000" sheet="1" selectLockedCells="1"/>
  <sortState xmlns:xlrd2="http://schemas.microsoft.com/office/spreadsheetml/2017/richdata2" ref="AM15:AM36">
    <sortCondition ref="AM36"/>
  </sortState>
  <dataConsolidate/>
  <mergeCells count="781">
    <mergeCell ref="S28:S31"/>
    <mergeCell ref="A240:AL240"/>
    <mergeCell ref="A42:AL42"/>
    <mergeCell ref="A121:AL121"/>
    <mergeCell ref="A153:AL153"/>
    <mergeCell ref="AG477:AL477"/>
    <mergeCell ref="AG478:AL478"/>
    <mergeCell ref="AG479:AL479"/>
    <mergeCell ref="AG480:AL480"/>
    <mergeCell ref="AG469:AL469"/>
    <mergeCell ref="AG470:AL470"/>
    <mergeCell ref="AG472:AL472"/>
    <mergeCell ref="AG438:AL438"/>
    <mergeCell ref="AG439:AL439"/>
    <mergeCell ref="AG440:AL440"/>
    <mergeCell ref="AG441:AL441"/>
    <mergeCell ref="AG442:AL442"/>
    <mergeCell ref="AG443:AL443"/>
    <mergeCell ref="AG444:AL444"/>
    <mergeCell ref="AG445:AL445"/>
    <mergeCell ref="AG446:AL446"/>
    <mergeCell ref="AG428:AL428"/>
    <mergeCell ref="AG429:AL429"/>
    <mergeCell ref="AG430:AL430"/>
    <mergeCell ref="AG447:AL447"/>
    <mergeCell ref="AG448:AL448"/>
    <mergeCell ref="B450:B474"/>
    <mergeCell ref="AG451:AL451"/>
    <mergeCell ref="AG452:AL452"/>
    <mergeCell ref="AG453:AL453"/>
    <mergeCell ref="AG454:AL454"/>
    <mergeCell ref="AG455:AL455"/>
    <mergeCell ref="AG456:AL456"/>
    <mergeCell ref="AG457:AL457"/>
    <mergeCell ref="AG458:AL458"/>
    <mergeCell ref="AG459:AL459"/>
    <mergeCell ref="AG460:AL460"/>
    <mergeCell ref="AG461:AL461"/>
    <mergeCell ref="B403:B448"/>
    <mergeCell ref="AG473:AL473"/>
    <mergeCell ref="AG474:AL474"/>
    <mergeCell ref="AG462:AL462"/>
    <mergeCell ref="AG463:AL463"/>
    <mergeCell ref="AG465:AL465"/>
    <mergeCell ref="AG466:AL466"/>
    <mergeCell ref="AG467:AL467"/>
    <mergeCell ref="AG468:AL468"/>
    <mergeCell ref="AG425:AL425"/>
    <mergeCell ref="B356:B401"/>
    <mergeCell ref="AG384:AL384"/>
    <mergeCell ref="AG385:AL385"/>
    <mergeCell ref="AG387:AL387"/>
    <mergeCell ref="AG388:AL388"/>
    <mergeCell ref="AG389:AL389"/>
    <mergeCell ref="AG390:AL390"/>
    <mergeCell ref="AG391:AL391"/>
    <mergeCell ref="AG392:AL392"/>
    <mergeCell ref="AG393:AL393"/>
    <mergeCell ref="AG374:AL374"/>
    <mergeCell ref="AG375:AL375"/>
    <mergeCell ref="AG376:AL376"/>
    <mergeCell ref="AG377:AL377"/>
    <mergeCell ref="AG378:AL378"/>
    <mergeCell ref="AG380:AL380"/>
    <mergeCell ref="AG381:AL381"/>
    <mergeCell ref="AG382:AL382"/>
    <mergeCell ref="AG361:AL361"/>
    <mergeCell ref="AG362:AL362"/>
    <mergeCell ref="AD385:AF385"/>
    <mergeCell ref="AA300:AF300"/>
    <mergeCell ref="AD268:AF268"/>
    <mergeCell ref="AA298:AF298"/>
    <mergeCell ref="AG286:AL286"/>
    <mergeCell ref="AG287:AL287"/>
    <mergeCell ref="AG288:AL288"/>
    <mergeCell ref="AG289:AL289"/>
    <mergeCell ref="AG290:AL290"/>
    <mergeCell ref="AA276:AF276"/>
    <mergeCell ref="AA277:AF277"/>
    <mergeCell ref="AA278:AF278"/>
    <mergeCell ref="AA279:AF279"/>
    <mergeCell ref="AA284:AF284"/>
    <mergeCell ref="A272:AL273"/>
    <mergeCell ref="AG285:AL285"/>
    <mergeCell ref="U285:Z285"/>
    <mergeCell ref="U286:Z286"/>
    <mergeCell ref="U287:Z287"/>
    <mergeCell ref="U288:Z288"/>
    <mergeCell ref="U289:Z289"/>
    <mergeCell ref="A270:AL270"/>
    <mergeCell ref="AG268:AL268"/>
    <mergeCell ref="AA285:AF285"/>
    <mergeCell ref="AA286:AF286"/>
    <mergeCell ref="AG431:AL431"/>
    <mergeCell ref="AG432:AL432"/>
    <mergeCell ref="AG433:AL433"/>
    <mergeCell ref="AG435:AL435"/>
    <mergeCell ref="AG436:AL436"/>
    <mergeCell ref="AG437:AL437"/>
    <mergeCell ref="AD380:AF380"/>
    <mergeCell ref="AD381:AF381"/>
    <mergeCell ref="AD382:AF382"/>
    <mergeCell ref="AD383:AF383"/>
    <mergeCell ref="AD384:AF384"/>
    <mergeCell ref="AG426:AL426"/>
    <mergeCell ref="AG394:AL394"/>
    <mergeCell ref="AG395:AL395"/>
    <mergeCell ref="AG396:AL396"/>
    <mergeCell ref="AG397:AL397"/>
    <mergeCell ref="AG398:AL398"/>
    <mergeCell ref="AG399:AL399"/>
    <mergeCell ref="AG400:AL400"/>
    <mergeCell ref="AG401:AL401"/>
    <mergeCell ref="AG415:AL415"/>
    <mergeCell ref="AG416:AL416"/>
    <mergeCell ref="AG417:AL417"/>
    <mergeCell ref="AG418:AL418"/>
    <mergeCell ref="C131:K131"/>
    <mergeCell ref="C132:K132"/>
    <mergeCell ref="C133:K133"/>
    <mergeCell ref="C134:K134"/>
    <mergeCell ref="C135:K135"/>
    <mergeCell ref="L134:T134"/>
    <mergeCell ref="B127:K127"/>
    <mergeCell ref="L127:T127"/>
    <mergeCell ref="L128:T128"/>
    <mergeCell ref="L129:T129"/>
    <mergeCell ref="L130:T130"/>
    <mergeCell ref="L131:T131"/>
    <mergeCell ref="L132:T132"/>
    <mergeCell ref="L133:T133"/>
    <mergeCell ref="A54:S60"/>
    <mergeCell ref="A92:AL98"/>
    <mergeCell ref="A99:AL99"/>
    <mergeCell ref="B101:AL103"/>
    <mergeCell ref="B104:AL104"/>
    <mergeCell ref="B112:AL112"/>
    <mergeCell ref="B119:AL119"/>
    <mergeCell ref="AJ105:AL105"/>
    <mergeCell ref="AJ113:AL113"/>
    <mergeCell ref="T54:AJ54"/>
    <mergeCell ref="AJ120:AL120"/>
    <mergeCell ref="B115:AL118"/>
    <mergeCell ref="B107:AL111"/>
    <mergeCell ref="B123:AL125"/>
    <mergeCell ref="C128:K128"/>
    <mergeCell ref="AD127:AL127"/>
    <mergeCell ref="AD128:AL128"/>
    <mergeCell ref="AD129:AL129"/>
    <mergeCell ref="AD130:AL130"/>
    <mergeCell ref="U129:AC129"/>
    <mergeCell ref="U130:AC130"/>
    <mergeCell ref="C129:K129"/>
    <mergeCell ref="C130:K130"/>
    <mergeCell ref="AD131:AL131"/>
    <mergeCell ref="AD132:AL132"/>
    <mergeCell ref="AD133:AL133"/>
    <mergeCell ref="AD134:AL134"/>
    <mergeCell ref="U134:AC134"/>
    <mergeCell ref="AJ52:AJ53"/>
    <mergeCell ref="AH52:AI53"/>
    <mergeCell ref="AJ50:AJ51"/>
    <mergeCell ref="AD135:AL135"/>
    <mergeCell ref="T56:AL58"/>
    <mergeCell ref="AD60:AL60"/>
    <mergeCell ref="AD61:AL61"/>
    <mergeCell ref="AD62:AL62"/>
    <mergeCell ref="AD63:AL63"/>
    <mergeCell ref="AD64:AL64"/>
    <mergeCell ref="AD65:AL65"/>
    <mergeCell ref="T67:AL68"/>
    <mergeCell ref="U70:AL70"/>
    <mergeCell ref="U71:AL71"/>
    <mergeCell ref="U72:AL72"/>
    <mergeCell ref="U73:AL73"/>
    <mergeCell ref="U65:AB65"/>
    <mergeCell ref="U127:AC127"/>
    <mergeCell ref="U128:AC128"/>
    <mergeCell ref="U131:AC131"/>
    <mergeCell ref="U132:AC132"/>
    <mergeCell ref="U133:AC133"/>
    <mergeCell ref="B306:B354"/>
    <mergeCell ref="A41:AL41"/>
    <mergeCell ref="A43:S49"/>
    <mergeCell ref="A62:S68"/>
    <mergeCell ref="A70:S83"/>
    <mergeCell ref="U74:AL74"/>
    <mergeCell ref="U75:AL75"/>
    <mergeCell ref="U78:AL78"/>
    <mergeCell ref="U76:AL76"/>
    <mergeCell ref="U77:AL77"/>
    <mergeCell ref="T79:AL80"/>
    <mergeCell ref="A51:S52"/>
    <mergeCell ref="AH48:AI49"/>
    <mergeCell ref="U62:AB62"/>
    <mergeCell ref="AK48:AL49"/>
    <mergeCell ref="AH50:AI51"/>
    <mergeCell ref="AK50:AL51"/>
    <mergeCell ref="AK54:AL54"/>
    <mergeCell ref="AJ48:AJ49"/>
    <mergeCell ref="AK52:AL53"/>
    <mergeCell ref="AJ136:AL136"/>
    <mergeCell ref="B139:AL139"/>
    <mergeCell ref="AG150:AL150"/>
    <mergeCell ref="AG151:AL151"/>
    <mergeCell ref="AG262:AL262"/>
    <mergeCell ref="AG263:AL263"/>
    <mergeCell ref="AG267:AL267"/>
    <mergeCell ref="AD169:AF169"/>
    <mergeCell ref="AG244:AL244"/>
    <mergeCell ref="AG246:AL246"/>
    <mergeCell ref="AG247:AL247"/>
    <mergeCell ref="AG257:AL257"/>
    <mergeCell ref="AG258:AL258"/>
    <mergeCell ref="AG171:AI171"/>
    <mergeCell ref="AJ171:AL171"/>
    <mergeCell ref="AG185:AL185"/>
    <mergeCell ref="AG179:AL179"/>
    <mergeCell ref="AG180:AL180"/>
    <mergeCell ref="AG181:AL181"/>
    <mergeCell ref="AG182:AL182"/>
    <mergeCell ref="AG184:AL184"/>
    <mergeCell ref="AG253:AL253"/>
    <mergeCell ref="AG254:AL254"/>
    <mergeCell ref="AG255:AL255"/>
    <mergeCell ref="AG256:AL256"/>
    <mergeCell ref="AG178:AL178"/>
    <mergeCell ref="A201:AL201"/>
    <mergeCell ref="AG186:AL186"/>
    <mergeCell ref="AG187:AL187"/>
    <mergeCell ref="AG188:AL188"/>
    <mergeCell ref="AG190:AL190"/>
    <mergeCell ref="AG191:AL191"/>
    <mergeCell ref="AG192:AL192"/>
    <mergeCell ref="AG193:AL193"/>
    <mergeCell ref="AG194:AL194"/>
    <mergeCell ref="AG195:AL195"/>
    <mergeCell ref="AG172:AI172"/>
    <mergeCell ref="AJ172:AL172"/>
    <mergeCell ref="U170:W170"/>
    <mergeCell ref="X170:Z170"/>
    <mergeCell ref="AA170:AC170"/>
    <mergeCell ref="AD170:AF170"/>
    <mergeCell ref="AG170:AI170"/>
    <mergeCell ref="AJ170:AL170"/>
    <mergeCell ref="R171:T171"/>
    <mergeCell ref="U171:W171"/>
    <mergeCell ref="X171:Z171"/>
    <mergeCell ref="AA171:AC171"/>
    <mergeCell ref="AD171:AF171"/>
    <mergeCell ref="R170:T170"/>
    <mergeCell ref="AG164:AI164"/>
    <mergeCell ref="AJ164:AL164"/>
    <mergeCell ref="AD164:AF164"/>
    <mergeCell ref="AG165:AI165"/>
    <mergeCell ref="R167:T167"/>
    <mergeCell ref="U167:W167"/>
    <mergeCell ref="X167:Z167"/>
    <mergeCell ref="AA167:AC167"/>
    <mergeCell ref="AD167:AF167"/>
    <mergeCell ref="AG167:AI167"/>
    <mergeCell ref="AJ167:AL167"/>
    <mergeCell ref="X166:Z166"/>
    <mergeCell ref="AA166:AC166"/>
    <mergeCell ref="AD166:AF166"/>
    <mergeCell ref="R164:T164"/>
    <mergeCell ref="U164:W164"/>
    <mergeCell ref="X164:Z164"/>
    <mergeCell ref="AA164:AC164"/>
    <mergeCell ref="AG166:AI166"/>
    <mergeCell ref="AJ166:AL166"/>
    <mergeCell ref="AJ165:AL165"/>
    <mergeCell ref="X165:Z165"/>
    <mergeCell ref="AA165:AC165"/>
    <mergeCell ref="AD165:AF165"/>
    <mergeCell ref="R162:T162"/>
    <mergeCell ref="AJ160:AL160"/>
    <mergeCell ref="AD161:AF161"/>
    <mergeCell ref="AD162:AF162"/>
    <mergeCell ref="AG162:AI162"/>
    <mergeCell ref="AJ162:AL162"/>
    <mergeCell ref="AJ159:AL159"/>
    <mergeCell ref="AG163:AI163"/>
    <mergeCell ref="AJ163:AL163"/>
    <mergeCell ref="X163:Z163"/>
    <mergeCell ref="AA163:AC163"/>
    <mergeCell ref="U162:W162"/>
    <mergeCell ref="X162:Z162"/>
    <mergeCell ref="AA162:AC162"/>
    <mergeCell ref="R163:T163"/>
    <mergeCell ref="U163:W163"/>
    <mergeCell ref="AD163:AF163"/>
    <mergeCell ref="B147:AL147"/>
    <mergeCell ref="AG148:AL148"/>
    <mergeCell ref="AG149:AL149"/>
    <mergeCell ref="R158:T158"/>
    <mergeCell ref="L135:T135"/>
    <mergeCell ref="R161:T161"/>
    <mergeCell ref="U161:W161"/>
    <mergeCell ref="X161:Z161"/>
    <mergeCell ref="X160:Z160"/>
    <mergeCell ref="AD158:AF158"/>
    <mergeCell ref="AA161:AC161"/>
    <mergeCell ref="R159:T159"/>
    <mergeCell ref="R160:T160"/>
    <mergeCell ref="U160:W160"/>
    <mergeCell ref="AA160:AC160"/>
    <mergeCell ref="AD160:AF160"/>
    <mergeCell ref="AG160:AI160"/>
    <mergeCell ref="AG159:AI159"/>
    <mergeCell ref="AD159:AF159"/>
    <mergeCell ref="AA159:AC159"/>
    <mergeCell ref="X159:Z159"/>
    <mergeCell ref="U159:W159"/>
    <mergeCell ref="AG161:AI161"/>
    <mergeCell ref="AJ161:AL161"/>
    <mergeCell ref="T14:AL14"/>
    <mergeCell ref="T15:AL15"/>
    <mergeCell ref="T16:AL16"/>
    <mergeCell ref="T17:AL17"/>
    <mergeCell ref="T18:AL18"/>
    <mergeCell ref="T19:AL19"/>
    <mergeCell ref="T20:AL20"/>
    <mergeCell ref="T21:AL21"/>
    <mergeCell ref="AA158:AC158"/>
    <mergeCell ref="AG158:AI158"/>
    <mergeCell ref="U158:W158"/>
    <mergeCell ref="AJ158:AL158"/>
    <mergeCell ref="B143:AL143"/>
    <mergeCell ref="X158:Z158"/>
    <mergeCell ref="AJ140:AL140"/>
    <mergeCell ref="AJ144:AL144"/>
    <mergeCell ref="A85:S90"/>
    <mergeCell ref="T43:AL43"/>
    <mergeCell ref="T44:AL46"/>
    <mergeCell ref="T47:AL47"/>
    <mergeCell ref="T48:AG49"/>
    <mergeCell ref="T50:AG51"/>
    <mergeCell ref="U135:AC135"/>
    <mergeCell ref="T52:AG53"/>
    <mergeCell ref="AG177:AL177"/>
    <mergeCell ref="AD204:AF204"/>
    <mergeCell ref="AD266:AF266"/>
    <mergeCell ref="AD267:AF267"/>
    <mergeCell ref="U166:W166"/>
    <mergeCell ref="AG260:AL260"/>
    <mergeCell ref="AG208:AL208"/>
    <mergeCell ref="AG196:AL196"/>
    <mergeCell ref="AG197:AL197"/>
    <mergeCell ref="AG205:AL205"/>
    <mergeCell ref="AG206:AL206"/>
    <mergeCell ref="AG207:AL207"/>
    <mergeCell ref="AG248:AL248"/>
    <mergeCell ref="AG250:AL250"/>
    <mergeCell ref="AG251:AL251"/>
    <mergeCell ref="AG252:AL252"/>
    <mergeCell ref="AG249:AL249"/>
    <mergeCell ref="AG261:AL261"/>
    <mergeCell ref="AD168:AF168"/>
    <mergeCell ref="AG168:AI168"/>
    <mergeCell ref="AJ168:AL168"/>
    <mergeCell ref="AJ169:AL169"/>
    <mergeCell ref="AG169:AI169"/>
    <mergeCell ref="U172:W172"/>
    <mergeCell ref="AA287:AF287"/>
    <mergeCell ref="AA288:AF288"/>
    <mergeCell ref="AA289:AF289"/>
    <mergeCell ref="AA280:AF280"/>
    <mergeCell ref="R166:T166"/>
    <mergeCell ref="R165:T165"/>
    <mergeCell ref="U165:W165"/>
    <mergeCell ref="X168:Z168"/>
    <mergeCell ref="AA168:AC168"/>
    <mergeCell ref="R168:T168"/>
    <mergeCell ref="U168:W168"/>
    <mergeCell ref="U169:W169"/>
    <mergeCell ref="X169:Z169"/>
    <mergeCell ref="AA169:AC169"/>
    <mergeCell ref="AD206:AF206"/>
    <mergeCell ref="AD207:AF207"/>
    <mergeCell ref="R169:T169"/>
    <mergeCell ref="R172:T172"/>
    <mergeCell ref="X172:Z172"/>
    <mergeCell ref="AA172:AC172"/>
    <mergeCell ref="AD172:AF172"/>
    <mergeCell ref="AG279:AL279"/>
    <mergeCell ref="AG280:AL280"/>
    <mergeCell ref="AG281:AL281"/>
    <mergeCell ref="AG282:AL282"/>
    <mergeCell ref="AG283:AL283"/>
    <mergeCell ref="AG284:AL284"/>
    <mergeCell ref="AA281:AF281"/>
    <mergeCell ref="AA282:AF282"/>
    <mergeCell ref="AA283:AF283"/>
    <mergeCell ref="AG307:AL307"/>
    <mergeCell ref="AG308:AL308"/>
    <mergeCell ref="AG309:AL309"/>
    <mergeCell ref="AG311:AL311"/>
    <mergeCell ref="AG312:AL312"/>
    <mergeCell ref="AG314:AL314"/>
    <mergeCell ref="AG315:AL315"/>
    <mergeCell ref="AG316:AL316"/>
    <mergeCell ref="AG317:AL317"/>
    <mergeCell ref="AG318:AL318"/>
    <mergeCell ref="AG320:AL320"/>
    <mergeCell ref="AG321:AL321"/>
    <mergeCell ref="AG322:AL322"/>
    <mergeCell ref="AG323:AL323"/>
    <mergeCell ref="AG324:AL324"/>
    <mergeCell ref="AG325:AL325"/>
    <mergeCell ref="AG326:AL326"/>
    <mergeCell ref="AG327:AL327"/>
    <mergeCell ref="AG338:AL338"/>
    <mergeCell ref="AG339:AL339"/>
    <mergeCell ref="AG341:AL341"/>
    <mergeCell ref="AG342:AL342"/>
    <mergeCell ref="AG343:AL343"/>
    <mergeCell ref="AG344:AL344"/>
    <mergeCell ref="AG345:AL345"/>
    <mergeCell ref="AG346:AL346"/>
    <mergeCell ref="AG347:AL347"/>
    <mergeCell ref="AG328:AL328"/>
    <mergeCell ref="AG329:AL329"/>
    <mergeCell ref="AG330:AL330"/>
    <mergeCell ref="AG331:AL331"/>
    <mergeCell ref="AG332:AL332"/>
    <mergeCell ref="AG334:AL334"/>
    <mergeCell ref="AG335:AL335"/>
    <mergeCell ref="AG336:AL336"/>
    <mergeCell ref="AG337:AL337"/>
    <mergeCell ref="AG419:AL419"/>
    <mergeCell ref="AG420:AL420"/>
    <mergeCell ref="AG421:AL421"/>
    <mergeCell ref="AG422:AL422"/>
    <mergeCell ref="AG423:AL423"/>
    <mergeCell ref="AG404:AL404"/>
    <mergeCell ref="AG405:AL405"/>
    <mergeCell ref="AG406:AL406"/>
    <mergeCell ref="AG408:AL408"/>
    <mergeCell ref="AG409:AL409"/>
    <mergeCell ref="AG350:AL350"/>
    <mergeCell ref="AG351:AL351"/>
    <mergeCell ref="AG352:AL352"/>
    <mergeCell ref="AG353:AL353"/>
    <mergeCell ref="AG354:AL354"/>
    <mergeCell ref="AG371:AL371"/>
    <mergeCell ref="AG372:AL372"/>
    <mergeCell ref="AG373:AL373"/>
    <mergeCell ref="AG424:AL424"/>
    <mergeCell ref="AG366:AL366"/>
    <mergeCell ref="AG367:AL367"/>
    <mergeCell ref="AG368:AL368"/>
    <mergeCell ref="AG369:AL369"/>
    <mergeCell ref="AG370:AL370"/>
    <mergeCell ref="AG363:AL363"/>
    <mergeCell ref="AG364:AL364"/>
    <mergeCell ref="AG410:AL410"/>
    <mergeCell ref="AG411:AL411"/>
    <mergeCell ref="AG412:AL412"/>
    <mergeCell ref="AG414:AL414"/>
    <mergeCell ref="AG383:AL383"/>
    <mergeCell ref="AG357:AL357"/>
    <mergeCell ref="AG358:AL358"/>
    <mergeCell ref="AG359:AL359"/>
    <mergeCell ref="AG514:AI514"/>
    <mergeCell ref="AJ514:AL514"/>
    <mergeCell ref="O515:Q515"/>
    <mergeCell ref="R515:T515"/>
    <mergeCell ref="U515:W515"/>
    <mergeCell ref="X515:Z515"/>
    <mergeCell ref="AA515:AC515"/>
    <mergeCell ref="AD515:AF515"/>
    <mergeCell ref="AG515:AI515"/>
    <mergeCell ref="AJ515:AL515"/>
    <mergeCell ref="A512:A537"/>
    <mergeCell ref="O514:Q514"/>
    <mergeCell ref="R514:T514"/>
    <mergeCell ref="U514:W514"/>
    <mergeCell ref="X514:Z514"/>
    <mergeCell ref="AA514:AC514"/>
    <mergeCell ref="AD514:AF514"/>
    <mergeCell ref="O516:Q516"/>
    <mergeCell ref="R516:T516"/>
    <mergeCell ref="U516:W516"/>
    <mergeCell ref="X516:Z516"/>
    <mergeCell ref="U519:W519"/>
    <mergeCell ref="X519:Z519"/>
    <mergeCell ref="AA519:AC519"/>
    <mergeCell ref="AD519:AF519"/>
    <mergeCell ref="O517:Q517"/>
    <mergeCell ref="R517:T517"/>
    <mergeCell ref="U517:W517"/>
    <mergeCell ref="AD529:AF529"/>
    <mergeCell ref="O519:Q519"/>
    <mergeCell ref="R519:T519"/>
    <mergeCell ref="X517:Z517"/>
    <mergeCell ref="AA517:AC517"/>
    <mergeCell ref="AD517:AF517"/>
    <mergeCell ref="AG517:AI517"/>
    <mergeCell ref="AJ517:AL517"/>
    <mergeCell ref="AA516:AC516"/>
    <mergeCell ref="AD516:AF516"/>
    <mergeCell ref="X520:Z520"/>
    <mergeCell ref="AA520:AC520"/>
    <mergeCell ref="AD520:AF520"/>
    <mergeCell ref="AG520:AI520"/>
    <mergeCell ref="AJ520:AL520"/>
    <mergeCell ref="AG519:AI519"/>
    <mergeCell ref="AJ519:AL519"/>
    <mergeCell ref="AG516:AI516"/>
    <mergeCell ref="AJ516:AL516"/>
    <mergeCell ref="O522:Q522"/>
    <mergeCell ref="R522:T522"/>
    <mergeCell ref="U522:W522"/>
    <mergeCell ref="X522:Z522"/>
    <mergeCell ref="AA522:AC522"/>
    <mergeCell ref="AD522:AF522"/>
    <mergeCell ref="AG522:AI522"/>
    <mergeCell ref="AJ522:AL522"/>
    <mergeCell ref="O520:Q520"/>
    <mergeCell ref="R520:T520"/>
    <mergeCell ref="U520:W520"/>
    <mergeCell ref="AD534:AF534"/>
    <mergeCell ref="AG534:AI534"/>
    <mergeCell ref="AJ534:AL534"/>
    <mergeCell ref="O523:Q523"/>
    <mergeCell ref="R523:T523"/>
    <mergeCell ref="U523:W523"/>
    <mergeCell ref="X523:Z523"/>
    <mergeCell ref="AA523:AC523"/>
    <mergeCell ref="AD523:AF523"/>
    <mergeCell ref="AG523:AI523"/>
    <mergeCell ref="AJ523:AL523"/>
    <mergeCell ref="O525:Q525"/>
    <mergeCell ref="R525:T525"/>
    <mergeCell ref="U525:W525"/>
    <mergeCell ref="X525:Z525"/>
    <mergeCell ref="AA525:AC525"/>
    <mergeCell ref="AD525:AF525"/>
    <mergeCell ref="AG525:AI525"/>
    <mergeCell ref="AJ525:AL525"/>
    <mergeCell ref="AG529:AI529"/>
    <mergeCell ref="AJ529:AL529"/>
    <mergeCell ref="O531:Q531"/>
    <mergeCell ref="X531:Z531"/>
    <mergeCell ref="AA531:AC531"/>
    <mergeCell ref="AD531:AF531"/>
    <mergeCell ref="AG531:AI531"/>
    <mergeCell ref="AJ531:AL531"/>
    <mergeCell ref="R532:T532"/>
    <mergeCell ref="U532:W532"/>
    <mergeCell ref="X532:Z532"/>
    <mergeCell ref="AA532:AC532"/>
    <mergeCell ref="AD532:AF532"/>
    <mergeCell ref="AG532:AI532"/>
    <mergeCell ref="AJ532:AL532"/>
    <mergeCell ref="AD528:AF528"/>
    <mergeCell ref="AG528:AI528"/>
    <mergeCell ref="AJ528:AL528"/>
    <mergeCell ref="R529:T529"/>
    <mergeCell ref="U529:W529"/>
    <mergeCell ref="X529:Z529"/>
    <mergeCell ref="AA529:AC529"/>
    <mergeCell ref="O536:Q536"/>
    <mergeCell ref="R536:T536"/>
    <mergeCell ref="U536:W536"/>
    <mergeCell ref="X536:Z536"/>
    <mergeCell ref="AA536:AC536"/>
    <mergeCell ref="O532:Q532"/>
    <mergeCell ref="O534:Q534"/>
    <mergeCell ref="R534:T534"/>
    <mergeCell ref="U534:W534"/>
    <mergeCell ref="X534:Z534"/>
    <mergeCell ref="AA534:AC534"/>
    <mergeCell ref="O529:Q529"/>
    <mergeCell ref="AD536:AF536"/>
    <mergeCell ref="AG536:AI536"/>
    <mergeCell ref="AJ536:AL536"/>
    <mergeCell ref="R531:T531"/>
    <mergeCell ref="U531:W531"/>
    <mergeCell ref="AJ28:AL28"/>
    <mergeCell ref="AJ29:AL29"/>
    <mergeCell ref="AJ30:AL30"/>
    <mergeCell ref="AJ31:AL31"/>
    <mergeCell ref="B476:B491"/>
    <mergeCell ref="O537:Q537"/>
    <mergeCell ref="R537:T537"/>
    <mergeCell ref="U537:W537"/>
    <mergeCell ref="X537:Z537"/>
    <mergeCell ref="AA537:AC537"/>
    <mergeCell ref="AD537:AF537"/>
    <mergeCell ref="AG537:AI537"/>
    <mergeCell ref="AJ537:AL537"/>
    <mergeCell ref="AG494:AL494"/>
    <mergeCell ref="AG495:AL495"/>
    <mergeCell ref="AG496:AL496"/>
    <mergeCell ref="AG497:AL497"/>
    <mergeCell ref="AG498:AL498"/>
    <mergeCell ref="AG500:AL500"/>
    <mergeCell ref="AG501:AL501"/>
    <mergeCell ref="AG502:AL502"/>
    <mergeCell ref="AG503:AL503"/>
    <mergeCell ref="O526:Q526"/>
    <mergeCell ref="R526:T526"/>
    <mergeCell ref="A305:AL305"/>
    <mergeCell ref="AJ33:AL33"/>
    <mergeCell ref="AJ34:AL34"/>
    <mergeCell ref="AJ35:AL35"/>
    <mergeCell ref="AJ36:AL36"/>
    <mergeCell ref="AJ37:AL37"/>
    <mergeCell ref="AJ38:AL38"/>
    <mergeCell ref="AJ39:AL39"/>
    <mergeCell ref="AG292:AL292"/>
    <mergeCell ref="AG293:AL293"/>
    <mergeCell ref="AG294:AL294"/>
    <mergeCell ref="AG296:AL296"/>
    <mergeCell ref="AG297:AL297"/>
    <mergeCell ref="AG298:AL298"/>
    <mergeCell ref="AA292:AF292"/>
    <mergeCell ref="AA293:AF293"/>
    <mergeCell ref="AA294:AF294"/>
    <mergeCell ref="AA296:AF296"/>
    <mergeCell ref="AA297:AF297"/>
    <mergeCell ref="AG259:AL259"/>
    <mergeCell ref="AA290:AF290"/>
    <mergeCell ref="AG276:AL276"/>
    <mergeCell ref="AG277:AL277"/>
    <mergeCell ref="AG278:AL278"/>
    <mergeCell ref="A306:A354"/>
    <mergeCell ref="A356:A401"/>
    <mergeCell ref="A403:A448"/>
    <mergeCell ref="A450:A474"/>
    <mergeCell ref="A476:A509"/>
    <mergeCell ref="B355:AL355"/>
    <mergeCell ref="B402:AL402"/>
    <mergeCell ref="B449:AL449"/>
    <mergeCell ref="B475:AL475"/>
    <mergeCell ref="AD311:AF311"/>
    <mergeCell ref="AD312:AF312"/>
    <mergeCell ref="AD320:AF320"/>
    <mergeCell ref="AD321:AF321"/>
    <mergeCell ref="AD322:AF322"/>
    <mergeCell ref="AD323:AF323"/>
    <mergeCell ref="AD324:AF324"/>
    <mergeCell ref="AD325:AF325"/>
    <mergeCell ref="AD326:AF326"/>
    <mergeCell ref="AD327:AF327"/>
    <mergeCell ref="AD328:AF328"/>
    <mergeCell ref="AG504:AL504"/>
    <mergeCell ref="AG508:AL508"/>
    <mergeCell ref="AG348:AL348"/>
    <mergeCell ref="AG349:AL349"/>
    <mergeCell ref="AD329:AF329"/>
    <mergeCell ref="AD330:AF330"/>
    <mergeCell ref="AD331:AF331"/>
    <mergeCell ref="AD332:AF332"/>
    <mergeCell ref="AD334:AF334"/>
    <mergeCell ref="AD335:AF335"/>
    <mergeCell ref="AD336:AF336"/>
    <mergeCell ref="AD337:AF337"/>
    <mergeCell ref="AD338:AF338"/>
    <mergeCell ref="AD339:AF339"/>
    <mergeCell ref="AD310:AF310"/>
    <mergeCell ref="AD319:AF319"/>
    <mergeCell ref="AD333:AF333"/>
    <mergeCell ref="AD360:AF360"/>
    <mergeCell ref="AD365:AF365"/>
    <mergeCell ref="AD379:AF379"/>
    <mergeCell ref="AD361:AF361"/>
    <mergeCell ref="AD362:AF362"/>
    <mergeCell ref="AD363:AF363"/>
    <mergeCell ref="AD364:AF364"/>
    <mergeCell ref="AD366:AF366"/>
    <mergeCell ref="AD367:AF367"/>
    <mergeCell ref="AD368:AF368"/>
    <mergeCell ref="AD369:AF369"/>
    <mergeCell ref="AD370:AF370"/>
    <mergeCell ref="AD371:AF371"/>
    <mergeCell ref="AD372:AF372"/>
    <mergeCell ref="AD373:AF373"/>
    <mergeCell ref="AD374:AF374"/>
    <mergeCell ref="AD375:AF375"/>
    <mergeCell ref="AD376:AF376"/>
    <mergeCell ref="AD377:AF377"/>
    <mergeCell ref="AD378:AF378"/>
    <mergeCell ref="AD413:AF413"/>
    <mergeCell ref="AD414:AF414"/>
    <mergeCell ref="AD415:AF415"/>
    <mergeCell ref="AD416:AF416"/>
    <mergeCell ref="AD417:AF417"/>
    <mergeCell ref="AD418:AF418"/>
    <mergeCell ref="AD419:AF419"/>
    <mergeCell ref="AD420:AF420"/>
    <mergeCell ref="AD421:AF421"/>
    <mergeCell ref="AD422:AF422"/>
    <mergeCell ref="AD423:AF423"/>
    <mergeCell ref="AD424:AF424"/>
    <mergeCell ref="AD425:AF425"/>
    <mergeCell ref="AD426:AF426"/>
    <mergeCell ref="AD427:AF427"/>
    <mergeCell ref="AD428:AF428"/>
    <mergeCell ref="AD429:AF429"/>
    <mergeCell ref="AD430:AF430"/>
    <mergeCell ref="AD431:AF431"/>
    <mergeCell ref="AD432:AF432"/>
    <mergeCell ref="AD433:AF433"/>
    <mergeCell ref="AD468:AF468"/>
    <mergeCell ref="AD450:AF450"/>
    <mergeCell ref="AD451:AF451"/>
    <mergeCell ref="AD452:AF452"/>
    <mergeCell ref="AD453:AF453"/>
    <mergeCell ref="AD454:AF454"/>
    <mergeCell ref="AD455:AF455"/>
    <mergeCell ref="AD456:AF456"/>
    <mergeCell ref="AD457:AF457"/>
    <mergeCell ref="AD458:AF458"/>
    <mergeCell ref="AD459:AF459"/>
    <mergeCell ref="AD460:AF460"/>
    <mergeCell ref="AD461:AF461"/>
    <mergeCell ref="AD462:AF462"/>
    <mergeCell ref="AD463:AF463"/>
    <mergeCell ref="AA480:AC480"/>
    <mergeCell ref="AA481:AC481"/>
    <mergeCell ref="AA482:AC482"/>
    <mergeCell ref="AG505:AL505"/>
    <mergeCell ref="AG506:AL506"/>
    <mergeCell ref="AG507:AL507"/>
    <mergeCell ref="AG509:AL509"/>
    <mergeCell ref="AD493:AF493"/>
    <mergeCell ref="AD494:AF494"/>
    <mergeCell ref="AD495:AF495"/>
    <mergeCell ref="AD496:AF496"/>
    <mergeCell ref="AD497:AF497"/>
    <mergeCell ref="AD482:AF482"/>
    <mergeCell ref="AD480:AF480"/>
    <mergeCell ref="AD481:AF481"/>
    <mergeCell ref="C483:AL483"/>
    <mergeCell ref="C485:AL491"/>
    <mergeCell ref="AJ484:AL484"/>
    <mergeCell ref="AA498:AC498"/>
    <mergeCell ref="AG482:AL482"/>
    <mergeCell ref="AG481:AL481"/>
    <mergeCell ref="AD499:AF499"/>
    <mergeCell ref="AG499:AL499"/>
    <mergeCell ref="AA477:AC477"/>
    <mergeCell ref="AA478:AC478"/>
    <mergeCell ref="AA479:AC479"/>
    <mergeCell ref="AD469:AF469"/>
    <mergeCell ref="AD470:AF470"/>
    <mergeCell ref="AD464:AF464"/>
    <mergeCell ref="AD476:AF476"/>
    <mergeCell ref="AD477:AF477"/>
    <mergeCell ref="AD478:AF478"/>
    <mergeCell ref="AD479:AF479"/>
    <mergeCell ref="AD465:AF465"/>
    <mergeCell ref="AD466:AF466"/>
    <mergeCell ref="AD467:AF467"/>
    <mergeCell ref="A538:AL538"/>
    <mergeCell ref="AD508:AF508"/>
    <mergeCell ref="AD509:AF509"/>
    <mergeCell ref="AD498:AF498"/>
    <mergeCell ref="AD500:AF500"/>
    <mergeCell ref="AD501:AF501"/>
    <mergeCell ref="AD502:AF502"/>
    <mergeCell ref="AD503:AF503"/>
    <mergeCell ref="AD504:AF504"/>
    <mergeCell ref="AD505:AF505"/>
    <mergeCell ref="AD506:AF506"/>
    <mergeCell ref="AD507:AF507"/>
    <mergeCell ref="B510:AL510"/>
    <mergeCell ref="U526:W526"/>
    <mergeCell ref="X526:Z526"/>
    <mergeCell ref="AA526:AC526"/>
    <mergeCell ref="AD526:AF526"/>
    <mergeCell ref="AG526:AI526"/>
    <mergeCell ref="AJ526:AL526"/>
    <mergeCell ref="O528:Q528"/>
    <mergeCell ref="R528:T528"/>
    <mergeCell ref="U528:W528"/>
    <mergeCell ref="X528:Z528"/>
    <mergeCell ref="AA528:AC528"/>
  </mergeCells>
  <conditionalFormatting sqref="A42:AL42">
    <cfRule type="cellIs" dxfId="566" priority="16" operator="equal">
      <formula>"This coversheet contains missing information. See highlighted fields. These prompts cannot be ignored. Please accurately complete this coversheet before proceeding to Part 1."</formula>
    </cfRule>
    <cfRule type="cellIs" dxfId="565" priority="561" operator="equal">
      <formula>"This report appears to be complete."</formula>
    </cfRule>
    <cfRule type="cellIs" dxfId="564" priority="562" operator="equal">
      <formula>"This annual report contains errors or missing information and is not ready for submission. Please review the report and resolve all issues."</formula>
    </cfRule>
    <cfRule type="cellIs" dxfId="563" priority="563" operator="equal">
      <formula>"This semi-annual report contains errors or missing information and is not ready for submission. Please review the report and resolve all issues."</formula>
    </cfRule>
    <cfRule type="cellIs" dxfId="562" priority="595" operator="equal">
      <formula>"This report contains errors or missing information and is not ready for submission. Please review the report and resolve all issues."</formula>
    </cfRule>
  </conditionalFormatting>
  <conditionalFormatting sqref="A41:AL41">
    <cfRule type="cellIs" dxfId="561" priority="564" operator="equal">
      <formula>"Select whether any households that received any type of housing assistance service made rent payments (full or partial) to private owners during the program year."</formula>
    </cfRule>
    <cfRule type="cellIs" dxfId="560" priority="565" operator="equal">
      <formula>"Select whether the Project Sponsor expended HOPWA program income during the program year."</formula>
    </cfRule>
    <cfRule type="cellIs" dxfId="559" priority="566" operator="equal">
      <formula>"Select whether the Project Sponsor collected HOPWA program income during the program year."</formula>
    </cfRule>
    <cfRule type="cellIs" dxfId="558" priority="567" operator="equal">
      <formula>"Select whether the Project Sponsor leveraged and expended any public or private funding in support of the HOPWA program during the program year."</formula>
    </cfRule>
    <cfRule type="cellIs" dxfId="557" priority="568" operator="equal">
      <formula>"Select whether any households that received any type of HOPWA service had more than one household member."</formula>
    </cfRule>
    <cfRule type="cellIs" dxfId="556" priority="569" operator="equal">
      <formula>"Select whether the Project Sponsor currently has a waitlist for TBRA, STRMU, and/or FBHA services."</formula>
    </cfRule>
    <cfRule type="cellIs" dxfId="555" priority="570" operator="equal">
      <formula>"Select whether the Project Sponsor encountered any barriers in the administration or implementation of the HOPWA program."</formula>
    </cfRule>
    <cfRule type="cellIs" dxfId="554" priority="571" operator="equal">
      <formula>"You have selected ""no,"" but you have indicated that households received one or more types of housing assistance. Please resolve this discrepancy."</formula>
    </cfRule>
    <cfRule type="cellIs" dxfId="553" priority="572" operator="equal">
      <formula>"You have selected ""no,"" but you have indicated that households received some combination of TBRA, FBHA, and/or PHP. Please resolve this discrepancy."</formula>
    </cfRule>
    <cfRule type="cellIs" dxfId="552" priority="573" operator="equal">
      <formula>"Error. You have selected ""yes,"" but for this to be true, you must have undertaken FBHA activities."</formula>
    </cfRule>
    <cfRule type="cellIs" dxfId="551" priority="574" operator="equal">
      <formula>"Select whether any households received more than one type of FBHA support during this reporting period."</formula>
    </cfRule>
    <cfRule type="cellIs" dxfId="550" priority="575" operator="equal">
      <formula>"Error. You have selected ""yes,"" but for this to be true, you must have undertaken at least two types of HOPWA service activities."</formula>
    </cfRule>
    <cfRule type="cellIs" dxfId="549" priority="576" operator="equal">
      <formula>"Select whether any households received more than one type of any HOPWA service during this reporting period."</formula>
    </cfRule>
    <cfRule type="cellIs" dxfId="548" priority="577" operator="equal">
      <formula>"Error. You have selected ""yes,"" but for this to be true, you must have undertaken some combination of TBRA, FBHA and/or PHP activities."</formula>
    </cfRule>
    <cfRule type="cellIs" dxfId="547" priority="578" operator="equal">
      <formula>"Select whether any households received some combination of TBRA, FBHA, and/or PHP services during this reporting period."</formula>
    </cfRule>
    <cfRule type="cellIs" dxfId="546" priority="579" operator="equal">
      <formula>"Error. You have selected ""yes,"" but for this to be true, you must have undertaken at least two types of housing assistance activities."</formula>
    </cfRule>
    <cfRule type="cellIs" dxfId="545" priority="580" operator="equal">
      <formula>"Error. You have selected ""yes,"" but for this to be true, you must have undertaken at least two types of housing assistance activities."</formula>
    </cfRule>
    <cfRule type="cellIs" dxfId="544" priority="581" operator="equal">
      <formula>"Select whether any households received more than one type of housing assistance service during this reporting period."</formula>
    </cfRule>
    <cfRule type="cellIs" dxfId="543" priority="582" operator="equal">
      <formula>"Select the activities your agency performed during this program year (i.e., activities for which your agency had household and/or expenditure outputs). Please check all that apply."</formula>
    </cfRule>
    <cfRule type="cellIs" dxfId="542" priority="583" operator="equal">
      <formula>"Error. You may only select one reporting period."</formula>
    </cfRule>
    <cfRule type="cellIs" dxfId="541" priority="584" operator="equal">
      <formula>"Select the reporting period. If this report covers the first half of the program year, select P1 Semi-Annual. If this report covers the entire program year, select P2 Annual."</formula>
    </cfRule>
    <cfRule type="cellIs" dxfId="540" priority="585" operator="equal">
      <formula>"Enter the date this report was completed."</formula>
    </cfRule>
    <cfRule type="cellIs" dxfId="539" priority="586" operator="equal">
      <formula>"Enter the email address of the person preparing this report."</formula>
    </cfRule>
    <cfRule type="cellIs" dxfId="538" priority="587" operator="equal">
      <formula>"Enter the phone number of the person preparing this report."</formula>
    </cfRule>
    <cfRule type="cellIs" dxfId="537" priority="588" operator="equal">
      <formula>"Enter the title of the person preparing this report."</formula>
    </cfRule>
    <cfRule type="cellIs" dxfId="536" priority="589" operator="equal">
      <formula>"Enter the name of the person preparing this report."</formula>
    </cfRule>
    <cfRule type="cellIs" dxfId="535" priority="590" operator="equal">
      <formula>"Select the Project Sponsor's Administrative Agency."</formula>
    </cfRule>
    <cfRule type="cellIs" dxfId="534" priority="591" operator="equal">
      <formula>"Select the Project Sponsor's HIV Service Delivery Area."</formula>
    </cfRule>
    <cfRule type="cellIs" dxfId="533" priority="592" operator="equal">
      <formula>"Enter a Project Sponsor name."</formula>
    </cfRule>
    <cfRule type="cellIs" dxfId="532" priority="593" operator="equal">
      <formula>"Looking good! Proceed to Part 1."</formula>
    </cfRule>
    <cfRule type="cellIs" dxfId="531" priority="594" operator="equal">
      <formula>"Let's get started! Enter a Project Sponsor name."</formula>
    </cfRule>
  </conditionalFormatting>
  <conditionalFormatting sqref="T14:AL14">
    <cfRule type="expression" dxfId="530" priority="560">
      <formula>$A$41="Enter a Project Sponsor name."</formula>
    </cfRule>
  </conditionalFormatting>
  <conditionalFormatting sqref="T15:AL15">
    <cfRule type="expression" dxfId="529" priority="559">
      <formula>$A$41="Select the Project Sponsor's HIV Service Delivery Area."</formula>
    </cfRule>
  </conditionalFormatting>
  <conditionalFormatting sqref="T16:AL16">
    <cfRule type="expression" dxfId="528" priority="558">
      <formula>$A$41="Select the Project Sponsor's Administrative Agency."</formula>
    </cfRule>
  </conditionalFormatting>
  <conditionalFormatting sqref="T17:AL17">
    <cfRule type="expression" dxfId="527" priority="557">
      <formula>$A$41="Enter the name of the person preparing this report."</formula>
    </cfRule>
  </conditionalFormatting>
  <conditionalFormatting sqref="T18:AL18">
    <cfRule type="expression" dxfId="526" priority="556">
      <formula>$A$41="Enter the title of the person preparing this report."</formula>
    </cfRule>
  </conditionalFormatting>
  <conditionalFormatting sqref="T19:AL19">
    <cfRule type="expression" dxfId="525" priority="555">
      <formula>$A$41="Enter the phone number of the person preparing this report."</formula>
    </cfRule>
  </conditionalFormatting>
  <conditionalFormatting sqref="T20:AL20">
    <cfRule type="expression" dxfId="524" priority="554">
      <formula>$A$41="Enter the email address of the person preparing this report."</formula>
    </cfRule>
  </conditionalFormatting>
  <conditionalFormatting sqref="T21:AL21">
    <cfRule type="expression" dxfId="523" priority="553">
      <formula>$A$41="Enter the date this report was completed."</formula>
    </cfRule>
  </conditionalFormatting>
  <conditionalFormatting sqref="T23:T24">
    <cfRule type="expression" dxfId="522" priority="551">
      <formula>$A$41="Error. You may only select one reporting period."</formula>
    </cfRule>
    <cfRule type="expression" dxfId="521" priority="552">
      <formula>$A$41="Select the reporting period. If this report covers the first half of the program year, select P1 Semi-Annual. If this report covers the entire program year, select P2 Annual."</formula>
    </cfRule>
  </conditionalFormatting>
  <conditionalFormatting sqref="A28:A31">
    <cfRule type="expression" dxfId="520" priority="550">
      <formula>$A$41="Select the activities your agency performed during this program year (i.e., activities for which your agency had household and/or expenditure outputs). Please check all that apply."</formula>
    </cfRule>
  </conditionalFormatting>
  <conditionalFormatting sqref="K28:K31">
    <cfRule type="expression" dxfId="519" priority="549">
      <formula>$A$41="Select the activities your agency performed during this program year (i.e., activities for which your agency had household and/or expenditure outputs). Please check all that apply."</formula>
    </cfRule>
  </conditionalFormatting>
  <conditionalFormatting sqref="AJ28:AL28">
    <cfRule type="expression" dxfId="518" priority="540">
      <formula>$A$41="You have selected ""no,"" but you have indicated that households received some combination of TBRA, FBHA, and/or PHP. Please resolve this discrepancy."</formula>
    </cfRule>
    <cfRule type="expression" dxfId="517" priority="547">
      <formula>$A$41="Error. You have selected ""yes,"" but for this to be true, you must have undertaken at least two types of housing assistance activities."</formula>
    </cfRule>
    <cfRule type="expression" dxfId="516" priority="548">
      <formula>$A$41="Select whether any households received more than one type of housing assistance service during this reporting period."</formula>
    </cfRule>
  </conditionalFormatting>
  <conditionalFormatting sqref="AJ29:AL29">
    <cfRule type="expression" dxfId="515" priority="545">
      <formula>$A$41="Error. You have selected ""yes,"" but for this to be true, you must have undertaken some combination of TBRA, FBHA and/or PHP activities."</formula>
    </cfRule>
    <cfRule type="expression" dxfId="514" priority="546">
      <formula>$A$41="Select whether any households received some combination of TBRA, FBHA, and/or PHP services during this reporting period."</formula>
    </cfRule>
  </conditionalFormatting>
  <conditionalFormatting sqref="AJ30:AL30">
    <cfRule type="expression" dxfId="513" priority="539">
      <formula>$A$41="You have selected ""no,"" but you have indicated that households received one or more types of housing assistance. Please resolve this discrepancy."</formula>
    </cfRule>
    <cfRule type="expression" dxfId="512" priority="543">
      <formula>$A$41="Error. You have selected ""yes,"" but for this to be true, you must have undertaken at least two types of HOPWA service activities."</formula>
    </cfRule>
    <cfRule type="expression" dxfId="511" priority="544">
      <formula>$A$41="Select whether any households received more than one type of any HOPWA service during this reporting period."</formula>
    </cfRule>
  </conditionalFormatting>
  <conditionalFormatting sqref="AJ31:AL31">
    <cfRule type="expression" dxfId="510" priority="541">
      <formula>$A$41="Error. You have selected ""yes,"" but for this to be true, you must have undertaken FBHA activities."</formula>
    </cfRule>
    <cfRule type="expression" dxfId="509" priority="542">
      <formula>$A$41="Select whether any households received more than one type of FBHA support during this reporting period."</formula>
    </cfRule>
  </conditionalFormatting>
  <conditionalFormatting sqref="AJ33:AL33">
    <cfRule type="expression" dxfId="508" priority="538">
      <formula>$A$41="Select whether the Project Sponsor encountered any barriers in the administration or implementation of the HOPWA program."</formula>
    </cfRule>
  </conditionalFormatting>
  <conditionalFormatting sqref="AJ34:AL34">
    <cfRule type="expression" dxfId="507" priority="537">
      <formula>$A$41="Select whether the Project Sponsor currently has a waitlist for TBRA, STRMU, and/or FBHA services."</formula>
    </cfRule>
  </conditionalFormatting>
  <conditionalFormatting sqref="AJ35:AL35">
    <cfRule type="expression" dxfId="506" priority="536">
      <formula>$A$41="Select whether any households that received any type of HOPWA service had more than one household member."</formula>
    </cfRule>
  </conditionalFormatting>
  <conditionalFormatting sqref="AJ36:AL36">
    <cfRule type="expression" dxfId="505" priority="535">
      <formula>$A$41="Select whether the Project Sponsor leveraged and expended any public or private funding in support of the HOPWA program during the program year."</formula>
    </cfRule>
  </conditionalFormatting>
  <conditionalFormatting sqref="AJ37:AL37">
    <cfRule type="expression" dxfId="504" priority="534">
      <formula>$A$41="Select whether the Project Sponsor collected HOPWA program income during the program year."</formula>
    </cfRule>
  </conditionalFormatting>
  <conditionalFormatting sqref="AJ38:AL38">
    <cfRule type="expression" dxfId="503" priority="533">
      <formula>$A$41="Select whether the Project Sponsor expended HOPWA program income during the program year."</formula>
    </cfRule>
  </conditionalFormatting>
  <conditionalFormatting sqref="AJ39:AL39">
    <cfRule type="expression" dxfId="502" priority="532">
      <formula>$A$41="Select whether any households that received any type of housing assistance service made rent payments (full or partial) to private owners during the program year."</formula>
    </cfRule>
  </conditionalFormatting>
  <conditionalFormatting sqref="B104:AL104 B112:AL112 B119:AL119">
    <cfRule type="expression" dxfId="501" priority="531">
      <formula>AND($A$121="Complete each narrative.",AR104=0)</formula>
    </cfRule>
  </conditionalFormatting>
  <conditionalFormatting sqref="C128:AL128">
    <cfRule type="expression" dxfId="500" priority="530">
      <formula>$A$153="Enter information for barrier number 1."</formula>
    </cfRule>
  </conditionalFormatting>
  <conditionalFormatting sqref="A153:AL153">
    <cfRule type="cellIs" dxfId="499" priority="524" operator="equal">
      <formula>"Looking good! Proceed to Part 2."</formula>
    </cfRule>
    <cfRule type="cellIs" dxfId="498" priority="525" operator="equal">
      <formula>"Error. You have entered waitlist data, but your coversheet indicates that you do not currently have any waitlists. Please resolve this discrepancy."</formula>
    </cfRule>
    <cfRule type="cellIs" dxfId="497" priority="526" operator="equal">
      <formula>"Complete the waitlist data table."</formula>
    </cfRule>
    <cfRule type="cellIs" dxfId="496" priority="527" operator="equal">
      <formula>"Error. You have entered barrier data, but your coversheet indicates that you did not encounter any barriers. Please resolve this discrepancy."</formula>
    </cfRule>
    <cfRule type="cellIs" dxfId="495" priority="528" operator="equal">
      <formula>"Complete the entry."</formula>
    </cfRule>
    <cfRule type="cellIs" dxfId="494" priority="529" operator="equal">
      <formula>"Enter information for barrier number 1."</formula>
    </cfRule>
  </conditionalFormatting>
  <conditionalFormatting sqref="C128:K135">
    <cfRule type="expression" dxfId="493" priority="509">
      <formula>AND($A$153="Error. You have entered barrier data, but your coversheet indicates that you did not encounter any barriers. Please resolve this discrepancy.",AP128=1)</formula>
    </cfRule>
    <cfRule type="expression" dxfId="492" priority="513">
      <formula>AND($A$153="Complete the entry.",AX128=1)</formula>
    </cfRule>
  </conditionalFormatting>
  <conditionalFormatting sqref="L128:T135">
    <cfRule type="expression" dxfId="491" priority="508">
      <formula>AND($A$153="Error. You have entered barrier data, but your coversheet indicates that you did not encounter any barriers. Please resolve this discrepancy.",AQ128=1)</formula>
    </cfRule>
    <cfRule type="expression" dxfId="490" priority="512">
      <formula>AND($A$153="Complete the entry.",AY128=1)</formula>
    </cfRule>
  </conditionalFormatting>
  <conditionalFormatting sqref="U128:AC135">
    <cfRule type="expression" dxfId="489" priority="507">
      <formula>AND($A$153="Error. You have entered barrier data, but your coversheet indicates that you did not encounter any barriers. Please resolve this discrepancy.",AR128=1)</formula>
    </cfRule>
    <cfRule type="expression" dxfId="488" priority="511">
      <formula>AND($A$153="Complete the entry.",AZ128=1)</formula>
    </cfRule>
  </conditionalFormatting>
  <conditionalFormatting sqref="AD128:AL135">
    <cfRule type="expression" dxfId="487" priority="506">
      <formula>AND($A$153="Error. You have entered barrier data, but your coversheet indicates that you did not encounter any barriers. Please resolve this discrepancy.",AS128=1)</formula>
    </cfRule>
    <cfRule type="expression" dxfId="486" priority="510">
      <formula>AND($A$153="Complete the entry.",BA128=1)</formula>
    </cfRule>
  </conditionalFormatting>
  <conditionalFormatting sqref="AG148:AL150">
    <cfRule type="expression" dxfId="485" priority="19">
      <formula>$A$153="Complete the waitlist data table."</formula>
    </cfRule>
    <cfRule type="expression" dxfId="484" priority="505">
      <formula>AND($A$153="Error. You have entered waitlist data, but your coversheet indicates that you do not currently have any waitlists. Please resolve this discrepancy.",AS148=1)</formula>
    </cfRule>
  </conditionalFormatting>
  <conditionalFormatting sqref="A201:AL201">
    <cfRule type="cellIs" dxfId="483" priority="13" operator="equal">
      <formula>"Error. You may only select one."</formula>
    </cfRule>
    <cfRule type="cellIs" dxfId="482" priority="15" operator="equal">
      <formula>"Confirm that the P2 adjustments for duplication on Rows 5, 10, and 18 are correct."</formula>
    </cfRule>
    <cfRule type="cellIs" dxfId="481" priority="18" operator="equal">
      <formula>"Error. Row 19 cannot be less than the greater of Rows 6 and 11. Reduce adjustment for duplication."</formula>
    </cfRule>
    <cfRule type="cellIs" dxfId="480" priority="24" operator="equal">
      <formula>"Enter all applicable P2 household outputs and all respective adjustments for duplication between P1 and P2."</formula>
    </cfRule>
    <cfRule type="cellIs" dxfId="479" priority="409" operator="equal">
      <formula>"Row 18 cannot be less than Row 5."</formula>
    </cfRule>
    <cfRule type="cellIs" dxfId="478" priority="410" operator="equal">
      <formula>"Row 10 cannot be greater than Row 5."</formula>
    </cfRule>
    <cfRule type="cellIs" dxfId="477" priority="471" operator="equal">
      <formula>"Looking good! Proceed to Part 3."</formula>
    </cfRule>
    <cfRule type="cellIs" dxfId="476" priority="472" operator="equal">
      <formula>"Confirm that the P1 adjustments for duplication on Rows 5, 10, and 18 are correct."</formula>
    </cfRule>
    <cfRule type="cellIs" dxfId="475" priority="473" operator="equal">
      <formula>"Row 19 cannot be less than the greater of Rows 12-17. Reduce adjustment for duplication."</formula>
    </cfRule>
    <cfRule type="cellIs" dxfId="474" priority="474" operator="equal">
      <formula>"Row 11 cannot be less than the greater of Rows 7-9. Reduce adjustment for duplication."</formula>
    </cfRule>
    <cfRule type="cellIs" dxfId="473" priority="475" operator="equal">
      <formula>"Row 6 cannot be less than the greater of Rows 1-4. Reduce adjustment for duplication."</formula>
    </cfRule>
    <cfRule type="cellIs" dxfId="472" priority="476" operator="equal">
      <formula>"Error. You have entered an adjustment for duplication, but your coversheet indicates that none of your households had this type of duplication. Please resolve this discrepancy."</formula>
    </cfRule>
    <cfRule type="cellIs" dxfId="471" priority="477" operator="equal">
      <formula>"Enter an adjustment for duplication for households that received more than one type of any HOPWA service."</formula>
    </cfRule>
    <cfRule type="cellIs" dxfId="470" priority="478" operator="equal">
      <formula>"Enter an adjustment for duplication for households that received some combination of TBRA, FBHA, and/or PHP services only."</formula>
    </cfRule>
    <cfRule type="cellIs" dxfId="469" priority="479" operator="equal">
      <formula>"Enter an adjustment for duplication for households that received more than one type of housing assistance service."</formula>
    </cfRule>
    <cfRule type="cellIs" dxfId="468" priority="484" operator="equal">
      <formula>"Error. Total households cannot be less than the greater of P1 and P2. Reduce adjustment for duplication."</formula>
    </cfRule>
    <cfRule type="cellIs" dxfId="467" priority="485" operator="equal">
      <formula>"Enter expenditure outputs for Project Sponsor Administration."</formula>
    </cfRule>
    <cfRule type="cellIs" dxfId="466" priority="486" operator="equal">
      <formula>"Enter expenditure outputs for Resource Identification."</formula>
    </cfRule>
    <cfRule type="cellIs" dxfId="465" priority="487" operator="equal">
      <formula>"Complete the entry for Housing Information Services."</formula>
    </cfRule>
    <cfRule type="cellIs" dxfId="464" priority="488" operator="equal">
      <formula>"Enter household and expenditure outputs for Housing Information Services."</formula>
    </cfRule>
    <cfRule type="cellIs" dxfId="463" priority="489" operator="equal">
      <formula>"Complete the entry for Housing Case Management."</formula>
    </cfRule>
    <cfRule type="cellIs" dxfId="462" priority="490" operator="equal">
      <formula>"Enter household and expenditure outputs for Housing Case Management."</formula>
    </cfRule>
    <cfRule type="cellIs" dxfId="461" priority="491" operator="equal">
      <formula>"Complete the entry for Permanent Housing Placement."</formula>
    </cfRule>
    <cfRule type="cellIs" dxfId="460" priority="492" operator="equal">
      <formula>"Enter household and expenditure outputs for Permanent Housing Placement."</formula>
    </cfRule>
    <cfRule type="cellIs" dxfId="459" priority="493" operator="equal">
      <formula>"Complete the entry for Facility-Based Housing Assistance."</formula>
    </cfRule>
    <cfRule type="cellIs" dxfId="458" priority="494" operator="equal">
      <formula>"Enter household and expenditure outputs for Facility-Based Housing Assistance."</formula>
    </cfRule>
    <cfRule type="cellIs" dxfId="457" priority="495" operator="equal">
      <formula>"Complete the entry for Short-Term Rent, Mortgage, and Utility."</formula>
    </cfRule>
    <cfRule type="cellIs" dxfId="456" priority="496" operator="equal">
      <formula>"Enter household and expenditure outputs for Short-Term Rent, Mortgage, and Utility."</formula>
    </cfRule>
    <cfRule type="cellIs" dxfId="455" priority="497" operator="equal">
      <formula>"Complete the entry for Tenant-Based Rental Assistance."</formula>
    </cfRule>
    <cfRule type="cellIs" dxfId="454" priority="498" operator="equal">
      <formula>"Enter household and expenditure outputs for Tenant-Based Rental Assistance."</formula>
    </cfRule>
    <cfRule type="cellIs" dxfId="453" priority="504" operator="equal">
      <formula>"Error. You have entered output data, but your coversheet indicates that you did not undertake this activity. Please resolve this discrepancy."</formula>
    </cfRule>
  </conditionalFormatting>
  <conditionalFormatting sqref="R158:T172">
    <cfRule type="expression" dxfId="452" priority="503">
      <formula>AND($A$201="Error. You have entered output data, but your coversheet indicates that you did not undertake this activity. Please resolve this discrepancy.",BB158=1,AN158=1)</formula>
    </cfRule>
  </conditionalFormatting>
  <conditionalFormatting sqref="U158:W172">
    <cfRule type="expression" dxfId="451" priority="502">
      <formula>AND($A$201="Error. You have entered output data, but your coversheet indicates that you did not undertake this activity. Please resolve this discrepancy.",BB158=1,AO158=1)</formula>
    </cfRule>
  </conditionalFormatting>
  <conditionalFormatting sqref="X158:Z172">
    <cfRule type="expression" dxfId="450" priority="421">
      <formula>AND($A$201="Error. Total households cannot be less than the greater of P1 and P2. Reduce adjustment for duplication.",AY158=1)</formula>
    </cfRule>
    <cfRule type="expression" dxfId="449" priority="501">
      <formula>AND($A$201="Error. You have entered output data, but your coversheet indicates that you did not undertake this activity. Please resolve this discrepancy.",BB158=1,AP158=1)</formula>
    </cfRule>
  </conditionalFormatting>
  <conditionalFormatting sqref="AD158:AF172">
    <cfRule type="expression" dxfId="448" priority="500">
      <formula>AND($A$201="Error. You have entered output data, but your coversheet indicates that you did not undertake this activity. Please resolve this discrepancy.",BB158=1,AQ158=1)</formula>
    </cfRule>
  </conditionalFormatting>
  <conditionalFormatting sqref="AG158:AI172">
    <cfRule type="expression" dxfId="447" priority="21">
      <formula>AND($A$201="Enter all applicable P2 expenditure outputs.",AZ175=1)</formula>
    </cfRule>
    <cfRule type="expression" dxfId="446" priority="499">
      <formula>AND($A$201="Error. You have entered output data, but your coversheet indicates that you did not undertake this activity. Please resolve this discrepancy.",BB158=1,AR158=1)</formula>
    </cfRule>
  </conditionalFormatting>
  <conditionalFormatting sqref="R158:Z158 AD158:AI158">
    <cfRule type="expression" dxfId="445" priority="470">
      <formula>$A$201="Enter household and expenditure outputs for Tenant-Based Rental Assistance."</formula>
    </cfRule>
  </conditionalFormatting>
  <conditionalFormatting sqref="R158:T158">
    <cfRule type="expression" dxfId="444" priority="469">
      <formula>AND($A$201="Complete the entry for Tenant-Based Rental Assistance.",AU158=1)</formula>
    </cfRule>
  </conditionalFormatting>
  <conditionalFormatting sqref="U158:W158">
    <cfRule type="expression" dxfId="443" priority="468">
      <formula>AND($A$201="Complete the entry for Tenant-Based Rental Assistance.",AV158=1)</formula>
    </cfRule>
  </conditionalFormatting>
  <conditionalFormatting sqref="AD158:AF158">
    <cfRule type="expression" dxfId="442" priority="466">
      <formula>AND($A$201="Complete the entry for Tenant-Based Rental Assistance.",AW158=1)</formula>
    </cfRule>
  </conditionalFormatting>
  <conditionalFormatting sqref="AG158:AI158">
    <cfRule type="expression" dxfId="441" priority="465">
      <formula>AND($A$201="Complete the entry for Tenant-Based Rental Assistance.",AX158=1)</formula>
    </cfRule>
  </conditionalFormatting>
  <conditionalFormatting sqref="R160:Z163 AD160:AI162">
    <cfRule type="expression" dxfId="440" priority="464">
      <formula>$A$201="Enter household and expenditure outputs for Short-Term Rent, Mortgage, and Utility."</formula>
    </cfRule>
  </conditionalFormatting>
  <conditionalFormatting sqref="R160:T160">
    <cfRule type="expression" dxfId="439" priority="463">
      <formula>AND($A$201="Complete the entry for Short-Term Rent, Mortgage, and Utility.",AU160=1)</formula>
    </cfRule>
  </conditionalFormatting>
  <conditionalFormatting sqref="U160:W160">
    <cfRule type="expression" dxfId="438" priority="462">
      <formula>AND($A$201="Complete the entry for Short-Term Rent, Mortgage, and Utility.",AV160=1)</formula>
    </cfRule>
  </conditionalFormatting>
  <conditionalFormatting sqref="AD160:AF160">
    <cfRule type="expression" dxfId="437" priority="461">
      <formula>AND($A$201="Complete the entry for Short-Term Rent, Mortgage, and Utility.",AW160=1)</formula>
    </cfRule>
  </conditionalFormatting>
  <conditionalFormatting sqref="AG160:AI160">
    <cfRule type="expression" dxfId="436" priority="460">
      <formula>AND($A$201="Complete the entry for Short-Term Rent, Mortgage, and Utility.",AX160=1)</formula>
    </cfRule>
  </conditionalFormatting>
  <conditionalFormatting sqref="R161:T161">
    <cfRule type="expression" dxfId="435" priority="459">
      <formula>AND($A$201="Complete the entry for Short-Term Rent, Mortgage, and Utility.",AU161=1)</formula>
    </cfRule>
  </conditionalFormatting>
  <conditionalFormatting sqref="U161:W161">
    <cfRule type="expression" dxfId="434" priority="458">
      <formula>AND($A$201="Complete the entry for Short-Term Rent, Mortgage, and Utility.",AV161=1)</formula>
    </cfRule>
  </conditionalFormatting>
  <conditionalFormatting sqref="AD161:AF161">
    <cfRule type="expression" dxfId="433" priority="457">
      <formula>AND($A$201="Complete the entry for Short-Term Rent, Mortgage, and Utility.",AW161=1)</formula>
    </cfRule>
  </conditionalFormatting>
  <conditionalFormatting sqref="AG161:AI161">
    <cfRule type="expression" dxfId="432" priority="456">
      <formula>AND($A$201="Complete the entry for Short-Term Rent, Mortgage, and Utility.",AX161=1)</formula>
    </cfRule>
  </conditionalFormatting>
  <conditionalFormatting sqref="R162:T162">
    <cfRule type="expression" dxfId="431" priority="455">
      <formula>AND($A$201="Complete the entry for Short-Term Rent, Mortgage, and Utility.",AU162=1)</formula>
    </cfRule>
  </conditionalFormatting>
  <conditionalFormatting sqref="U162:W162">
    <cfRule type="expression" dxfId="430" priority="454">
      <formula>AND($A$201="Complete the entry for Short-Term Rent, Mortgage, and Utility.",AV162=1)</formula>
    </cfRule>
  </conditionalFormatting>
  <conditionalFormatting sqref="AD162:AF162">
    <cfRule type="expression" dxfId="429" priority="453">
      <formula>AND($A$201="Complete the entry for Short-Term Rent, Mortgage, and Utility.",AW162=1)</formula>
    </cfRule>
  </conditionalFormatting>
  <conditionalFormatting sqref="AG162:AI162">
    <cfRule type="expression" dxfId="428" priority="452">
      <formula>AND($A$201="Complete the entry for Short-Term Rent, Mortgage, and Utility.",AX162=1)</formula>
    </cfRule>
  </conditionalFormatting>
  <conditionalFormatting sqref="R163:T163">
    <cfRule type="expression" dxfId="427" priority="451">
      <formula>AND($A$201="Complete the entry for Short-Term Rent, Mortgage, and Utility.",AU163=1)</formula>
    </cfRule>
  </conditionalFormatting>
  <conditionalFormatting sqref="U163:W163">
    <cfRule type="expression" dxfId="426" priority="450">
      <formula>AND($A$201="Complete the entry for Short-Term Rent, Mortgage, and Utility.",AV163=1)</formula>
    </cfRule>
  </conditionalFormatting>
  <conditionalFormatting sqref="R165:Z167 AD165:AI166">
    <cfRule type="expression" dxfId="425" priority="449">
      <formula>$A$201="Enter household and expenditure outputs for Facility-Based Housing Assistance."</formula>
    </cfRule>
  </conditionalFormatting>
  <conditionalFormatting sqref="R165:T165">
    <cfRule type="expression" dxfId="424" priority="448">
      <formula>AND($A$201="Complete the entry for Facility-Based Housing Assistance.",AU165=1)</formula>
    </cfRule>
  </conditionalFormatting>
  <conditionalFormatting sqref="U165:W165">
    <cfRule type="expression" dxfId="423" priority="447">
      <formula>AND($A$201="Complete the entry for Facility-Based Housing Assistance.",AV165=1)</formula>
    </cfRule>
  </conditionalFormatting>
  <conditionalFormatting sqref="AD165:AF165">
    <cfRule type="expression" dxfId="422" priority="445">
      <formula>AND($A$201="Complete the entry for Facility-Based Housing Assistance.",AW165=1)</formula>
    </cfRule>
  </conditionalFormatting>
  <conditionalFormatting sqref="AG165:AI165">
    <cfRule type="expression" dxfId="421" priority="444">
      <formula>AND($A$201="Complete the entry for Facility-Based Housing Assistance.",AX165=1)</formula>
    </cfRule>
  </conditionalFormatting>
  <conditionalFormatting sqref="R166:T166">
    <cfRule type="expression" dxfId="420" priority="443">
      <formula>AND($A$201="Complete the entry for Facility-Based Housing Assistance.",AU166=1)</formula>
    </cfRule>
  </conditionalFormatting>
  <conditionalFormatting sqref="U166:W166">
    <cfRule type="expression" dxfId="419" priority="442">
      <formula>AND($A$201="Complete the entry for Facility-Based Housing Assistance.",AV166=1)</formula>
    </cfRule>
  </conditionalFormatting>
  <conditionalFormatting sqref="AD166:AF166">
    <cfRule type="expression" dxfId="418" priority="441">
      <formula>AND($A$201="Complete the entry for Facility-Based Housing Assistance.",AW166=1)</formula>
    </cfRule>
  </conditionalFormatting>
  <conditionalFormatting sqref="AG166:AI166">
    <cfRule type="expression" dxfId="417" priority="440">
      <formula>AND($A$201="Complete the entry for Facility-Based Housing Assistance.",AX166=1)</formula>
    </cfRule>
  </conditionalFormatting>
  <conditionalFormatting sqref="R168:Z168 AD168:AI168">
    <cfRule type="expression" dxfId="416" priority="439">
      <formula>$A$201="Enter household and expenditure outputs for Permanent Housing Placement."</formula>
    </cfRule>
  </conditionalFormatting>
  <conditionalFormatting sqref="R168:T168">
    <cfRule type="expression" dxfId="415" priority="438">
      <formula>AND($A$201="Complete the entry for Permanent Housing Placement.",AU168=1)</formula>
    </cfRule>
  </conditionalFormatting>
  <conditionalFormatting sqref="U168:W168">
    <cfRule type="expression" dxfId="414" priority="437">
      <formula>AND($A$201="Complete the entry for Permanent Housing Placement.",AV168=1)</formula>
    </cfRule>
  </conditionalFormatting>
  <conditionalFormatting sqref="AD168:AF168">
    <cfRule type="expression" dxfId="413" priority="436">
      <formula>AND($A$201="Complete the entry for Permanent Housing Placement.",AW168=1)</formula>
    </cfRule>
  </conditionalFormatting>
  <conditionalFormatting sqref="AG168:AI168">
    <cfRule type="expression" dxfId="412" priority="435">
      <formula>AND($A$201="Complete the entry for Permanent Housing Placement.",AX168=1)</formula>
    </cfRule>
  </conditionalFormatting>
  <conditionalFormatting sqref="R169:Z169 AD169:AI169">
    <cfRule type="expression" dxfId="411" priority="433">
      <formula>$A$201="Enter household and expenditure outputs for Housing Case Management."</formula>
    </cfRule>
  </conditionalFormatting>
  <conditionalFormatting sqref="R169:T169">
    <cfRule type="expression" dxfId="410" priority="432">
      <formula>AND($A$201="Complete the entry for Housing Case Management.",AU169=1)</formula>
    </cfRule>
  </conditionalFormatting>
  <conditionalFormatting sqref="U169:W169">
    <cfRule type="expression" dxfId="409" priority="431">
      <formula>AND($A$201="Complete the entry for Housing Case Management.",AV169=1)</formula>
    </cfRule>
  </conditionalFormatting>
  <conditionalFormatting sqref="AD169:AF169">
    <cfRule type="expression" dxfId="408" priority="430">
      <formula>AND($A$201="Complete the entry for Housing Case Management.",AW169=1)</formula>
    </cfRule>
  </conditionalFormatting>
  <conditionalFormatting sqref="AG169:AI169">
    <cfRule type="expression" dxfId="407" priority="429">
      <formula>AND($A$201="Complete the entry for Housing Case Management.",AX169=1)</formula>
    </cfRule>
  </conditionalFormatting>
  <conditionalFormatting sqref="R170:Z170 AD170:AI170">
    <cfRule type="expression" dxfId="406" priority="428">
      <formula>$A$201="Enter household and expenditure outputs for Housing Information Services."</formula>
    </cfRule>
  </conditionalFormatting>
  <conditionalFormatting sqref="R170:T170">
    <cfRule type="expression" dxfId="405" priority="427">
      <formula>AND($A$201="Complete the entry for Housing Information Services.",AU170=1)</formula>
    </cfRule>
  </conditionalFormatting>
  <conditionalFormatting sqref="U170:W170">
    <cfRule type="expression" dxfId="404" priority="426">
      <formula>AND($A$201="Complete the entry for Housing Information Services.",AV170=1)</formula>
    </cfRule>
  </conditionalFormatting>
  <conditionalFormatting sqref="AD170:AF170">
    <cfRule type="expression" dxfId="403" priority="425">
      <formula>AND($A$201="Complete the entry for Housing Information Services.",AW170=1)</formula>
    </cfRule>
  </conditionalFormatting>
  <conditionalFormatting sqref="AG170:AI170">
    <cfRule type="expression" dxfId="402" priority="424">
      <formula>AND($A$201="Complete the entry for Housing Information Services.",AX170=1)</formula>
    </cfRule>
  </conditionalFormatting>
  <conditionalFormatting sqref="AD171:AI171">
    <cfRule type="expression" dxfId="401" priority="423">
      <formula>$A$201="Enter expenditure outputs for Resource Identification."</formula>
    </cfRule>
  </conditionalFormatting>
  <conditionalFormatting sqref="AD172:AI172">
    <cfRule type="expression" dxfId="400" priority="422">
      <formula>$A$201="Enter expenditure outputs for Project Sponsor Administration."</formula>
    </cfRule>
  </conditionalFormatting>
  <conditionalFormatting sqref="AG181:AI181">
    <cfRule type="expression" dxfId="399" priority="414">
      <formula>$A$201="Row 6 cannot be less than the greater of Rows 1-4. Reduce adjustment for duplication."</formula>
    </cfRule>
    <cfRule type="expression" dxfId="398" priority="417">
      <formula>AND($A$201="Error. You have entered an adjustment for duplication, but your coversheet indicates that none of your households had this type of duplication. Please resolve this discrepancy.",AT176=1)</formula>
    </cfRule>
    <cfRule type="expression" dxfId="397" priority="420">
      <formula>$A$201="Enter an adjustment for duplication for households that received more than one type of housing assistance service."</formula>
    </cfRule>
  </conditionalFormatting>
  <conditionalFormatting sqref="AG187:AI187">
    <cfRule type="expression" dxfId="396" priority="408">
      <formula>$A$201="Row 10 cannot be greater than Row 5."</formula>
    </cfRule>
    <cfRule type="expression" dxfId="395" priority="413">
      <formula>$A$201="Row 11 cannot be less than the greater of Rows 7-9. Reduce adjustment for duplication."</formula>
    </cfRule>
    <cfRule type="expression" dxfId="394" priority="416">
      <formula>AND($A$201="Error. You have entered an adjustment for duplication, but your coversheet indicates that none of your households had this type of duplication. Please resolve this discrepancy.",AT177=1)</formula>
    </cfRule>
    <cfRule type="expression" dxfId="393" priority="419">
      <formula>$A$201="Enter an adjustment for duplication for households that received some combination of TBRA, FBHA, and/or PHP services only."</formula>
    </cfRule>
  </conditionalFormatting>
  <conditionalFormatting sqref="AG196:AI196">
    <cfRule type="expression" dxfId="392" priority="407">
      <formula>$A$201="Row 18 cannot be less than Row 5."</formula>
    </cfRule>
    <cfRule type="expression" dxfId="391" priority="412">
      <formula>$A$201="Row 19 cannot be less than the greater of Rows 12-17. Reduce adjustment for duplication."</formula>
    </cfRule>
    <cfRule type="expression" dxfId="390" priority="415">
      <formula>AND($A$201="Error. You have entered an adjustment for duplication, but your coversheet indicates that none of your households had this type of duplication. Please resolve this discrepancy.",AT178=1)</formula>
    </cfRule>
    <cfRule type="expression" dxfId="389" priority="418">
      <formula>$A$201="Enter an adjustment for duplication for households that received more than one type of any HOPWA service."</formula>
    </cfRule>
  </conditionalFormatting>
  <conditionalFormatting sqref="A199">
    <cfRule type="expression" dxfId="388" priority="11">
      <formula>$A$201="Error. You may only select one."</formula>
    </cfRule>
    <cfRule type="expression" dxfId="387" priority="411">
      <formula>$A$201="Confirm that the P1 adjustments for duplication on Rows 5, 10, and 18 are correct."</formula>
    </cfRule>
  </conditionalFormatting>
  <conditionalFormatting sqref="A202:P202 R202:AL202 A203:AL301 A449 A450:AL483 A484:AI484 A485:AL538 A305:AL448">
    <cfRule type="expression" dxfId="386" priority="406">
      <formula>$AQ$23=1</formula>
    </cfRule>
  </conditionalFormatting>
  <conditionalFormatting sqref="A240:AL240">
    <cfRule type="cellIs" dxfId="385" priority="393" operator="equal">
      <formula>"Error. Total race must equal total ethnicity."</formula>
    </cfRule>
    <cfRule type="cellIs" dxfId="384" priority="394" operator="equal">
      <formula>CONCATENATE("Enter the number of additional beneficiaries served by ethnicity by any HOPWA activity category. Total must equal ",AQ218,". You've entered ",AS218,".")</formula>
    </cfRule>
    <cfRule type="cellIs" dxfId="383" priority="395" operator="equal">
      <formula>CONCATENATE("Enter the number of additional beneficiaries served by race, age, and gender by any HOPWA activity. Total must equal ",AQ218,". You've entered ",AR218,".")</formula>
    </cfRule>
    <cfRule type="cellIs" dxfId="382" priority="397" operator="equal">
      <formula>"Error. Total race must equal total ethnicity."</formula>
    </cfRule>
    <cfRule type="cellIs" dxfId="381" priority="398" operator="equal">
      <formula>CONCATENATE("Enter the number of eligible individuals served by ethnicity by any HOPWA activity. Total must equal ",AQ215,". You've entered ",AS215,".")</formula>
    </cfRule>
    <cfRule type="cellIs" dxfId="380" priority="399" operator="equal">
      <formula>CONCATENATE("Enter the number of eligible individuals served by race, age, and gender by any HOPWA activity. Total must equal ",AQ215,". You've entered ",AR215,".")</formula>
    </cfRule>
    <cfRule type="cellIs" dxfId="379" priority="400" operator="equal">
      <formula>"Enter the number of additional beneficiaries by HIV status served by any type of HOPWA activity."</formula>
    </cfRule>
    <cfRule type="cellIs" dxfId="378" priority="401" operator="equal">
      <formula>"Select whether additional beneficiaries data is applicable."</formula>
    </cfRule>
    <cfRule type="cellIs" dxfId="377" priority="402" operator="equal">
      <formula>"Error. You've indicated this is not applicable, but you've entered additional beneficiaries data. Please resolve this discrepancy."</formula>
    </cfRule>
    <cfRule type="cellIs" dxfId="376" priority="403" operator="equal">
      <formula>"Error. Your coversheet indicates that some of your households had additional beneficiaries. Please resolve this discrepancy."</formula>
    </cfRule>
    <cfRule type="cellIs" dxfId="375" priority="404" operator="equal">
      <formula>"Error. You have entered additional beneficiaries data, but your coversheet indicates that none of your households had additional beneficiaries. Please resolve this discrepancy."</formula>
    </cfRule>
    <cfRule type="cellIs" dxfId="374" priority="405" operator="equal">
      <formula>"Error. If this is a semi-annual report, this section should be blank."</formula>
    </cfRule>
  </conditionalFormatting>
  <conditionalFormatting sqref="AD206:AF207">
    <cfRule type="expression" dxfId="373" priority="386">
      <formula>AND($A$240="Select whether additional beneficiaries data is applicable.",AQ206=0)</formula>
    </cfRule>
    <cfRule type="expression" dxfId="372" priority="388">
      <formula>$A$240="Error. Your coversheet indicates that some of your households had additional beneficiaries. Please resolve this discrepancy."</formula>
    </cfRule>
    <cfRule type="expression" dxfId="371" priority="392">
      <formula>AND($A$240="Error. You have entered additional beneficiaries data, but your coversheet indicates that none of your households had additional beneficiaries. Please resolve this discrepancy.",AQ206=1)</formula>
    </cfRule>
  </conditionalFormatting>
  <conditionalFormatting sqref="AG206:AL207">
    <cfRule type="expression" dxfId="370" priority="385">
      <formula>AND($A$240="Enter the number of additional beneficiaries by HIV status served by any type of HOPWA activity.",AU206=1)</formula>
    </cfRule>
    <cfRule type="expression" dxfId="369" priority="387">
      <formula>AND($A$240="Error. You've indicated this is not applicable, but you've entered additional beneficiaries data. Please resolve this discrepancy.",BA206=1)</formula>
    </cfRule>
    <cfRule type="expression" dxfId="368" priority="391">
      <formula>AND($A$240="Error. You have entered additional beneficiaries data, but your coversheet indicates that none of your households had additional beneficiaries. Please resolve this discrepancy.",AR206=1)</formula>
    </cfRule>
  </conditionalFormatting>
  <conditionalFormatting sqref="M215:AL224">
    <cfRule type="expression" dxfId="367" priority="377">
      <formula>AND($AY215=1,$A$240="Error. Total race must equal total ethnicity.")</formula>
    </cfRule>
  </conditionalFormatting>
  <conditionalFormatting sqref="M229:AL238">
    <cfRule type="expression" dxfId="366" priority="374">
      <formula>AND($AY229=1,$A$240="Error. Total race must equal total ethnicity.")</formula>
    </cfRule>
    <cfRule type="expression" dxfId="365" priority="389">
      <formula>AND($A$240="Error. You have entered additional beneficiaries data, but your coversheet indicates that none of your households had additional beneficiaries. Please resolve this discrepancy.",M229&lt;&gt;"")</formula>
    </cfRule>
  </conditionalFormatting>
  <conditionalFormatting sqref="M215:AJ224">
    <cfRule type="expression" dxfId="364" priority="383" stopIfTrue="1">
      <formula>$AP$230=1</formula>
    </cfRule>
  </conditionalFormatting>
  <conditionalFormatting sqref="AK215:AL224">
    <cfRule type="expression" dxfId="363" priority="380">
      <formula>$AP$231=1</formula>
    </cfRule>
  </conditionalFormatting>
  <conditionalFormatting sqref="M229:AJ238">
    <cfRule type="expression" dxfId="362" priority="376">
      <formula>$AP$232=1</formula>
    </cfRule>
  </conditionalFormatting>
  <conditionalFormatting sqref="AK229:AL238">
    <cfRule type="expression" dxfId="361" priority="375">
      <formula>$AP$233=1</formula>
    </cfRule>
  </conditionalFormatting>
  <conditionalFormatting sqref="A270:AL270">
    <cfRule type="cellIs" dxfId="360" priority="352" operator="equal">
      <formula>"Looking good! Proceed to Part 4."</formula>
    </cfRule>
    <cfRule type="cellIs" dxfId="359" priority="353" operator="equal">
      <formula>CONCATENATE("Error. Homeless veterans cannot exceed ",AV267,". You've entered ",AW268,".")</formula>
    </cfRule>
    <cfRule type="cellIs" dxfId="358" priority="364" operator="equal">
      <formula>CONCATENATE("Error. Chronically homeless persons cannot exceed ",AV267,". You've entered ",AW267,".")</formula>
    </cfRule>
    <cfRule type="cellIs" dxfId="357" priority="367" operator="equal">
      <formula>"Enter the number of households that met the criteria for each homeless individuals category."</formula>
    </cfRule>
    <cfRule type="cellIs" dxfId="356" priority="368" operator="equal">
      <formula>"Select whether homeless individuals data is applicable."</formula>
    </cfRule>
    <cfRule type="cellIs" dxfId="355" priority="369" operator="equal">
      <formula>"Error. You've indicated this is not applicable, but you've entered homeless individuals data. Please resolve this discrepancy."</formula>
    </cfRule>
    <cfRule type="cellIs" dxfId="354" priority="370" operator="equal">
      <formula>"Error. You have entered homeless individuals data, but none of the eligible individuals had a homeless prior living situation. Please resolve this discrepancy."</formula>
    </cfRule>
    <cfRule type="cellIs" dxfId="353" priority="371" operator="equal">
      <formula>CONCATENATE("Enter the number of eligible individuals by prior living situation who received TBRA, FBHA, and/or PHP only (not STRMU). Total must equal ",AV244,". You've entered ",AW244,".")</formula>
    </cfRule>
    <cfRule type="cellIs" dxfId="352" priority="372" operator="equal">
      <formula>"Error. You have entered prior living situation data, but you did not select TBRA, FBHA, and/or PHP activities on your coversheet. Please resolve this discrepancy."</formula>
    </cfRule>
    <cfRule type="cellIs" dxfId="351" priority="373" operator="equal">
      <formula>"Error. If this is a semi-annual report, this section should be blank."</formula>
    </cfRule>
  </conditionalFormatting>
  <conditionalFormatting sqref="AD267:AF268">
    <cfRule type="expression" dxfId="350" priority="356">
      <formula>AND($A$270="Select whether homeless individuals data is applicable.",AQ267=0)</formula>
    </cfRule>
    <cfRule type="expression" dxfId="349" priority="359">
      <formula>AND($A$270="Error. You have entered homeless individuals data, but none of the eligible individuals had a homeless prior living situation. Please resolve this discrepancy.",AQ267=1)</formula>
    </cfRule>
    <cfRule type="expression" dxfId="348" priority="363">
      <formula>AND($A$270="Error. You have entered prior living situation data, but you did not select TBRA, FBHA, and/or PHP activities on your coversheet. Please resolve this discrepancy.",AQ267=1)</formula>
    </cfRule>
  </conditionalFormatting>
  <conditionalFormatting sqref="AG267:AL268">
    <cfRule type="expression" dxfId="347" priority="355">
      <formula>AND($A$270="Enter the number of households that met the criteria for each homeless individuals category.",AU267=1)</formula>
    </cfRule>
    <cfRule type="expression" dxfId="346" priority="357">
      <formula>AND($A$270="Error. You've indicated this is not applicable, but you've entered homeless individuals data. Please resolve this discrepancy.",AR267=1)</formula>
    </cfRule>
    <cfRule type="expression" dxfId="345" priority="358">
      <formula>AND($A$270="Error. You have entered homeless individuals data, but none of the eligible individuals had a homeless prior living situation. Please resolve this discrepancy.",AR267=1)</formula>
    </cfRule>
    <cfRule type="expression" dxfId="344" priority="362">
      <formula>AND($A$270="Error. You have entered prior living situation data, but you did not select TBRA, FBHA, and/or PHP activities on your coversheet. Please resolve this discrepancy.",AR267=1)</formula>
    </cfRule>
  </conditionalFormatting>
  <conditionalFormatting sqref="AG244:AL244 AG246:AL248 AG250:AL261">
    <cfRule type="expression" dxfId="343" priority="360">
      <formula>$AO$254=1</formula>
    </cfRule>
    <cfRule type="expression" dxfId="342" priority="361">
      <formula>AND($A$270="Error. You have entered prior living situation data, but you did not select TBRA, FBHA, and/or PHP activities on your coversheet. Please resolve this discrepancy.",AG244&gt;0)</formula>
    </cfRule>
  </conditionalFormatting>
  <conditionalFormatting sqref="AG267:AL267">
    <cfRule type="expression" dxfId="341" priority="354">
      <formula>$A$270=CONCATENATE("Error. Chronically homeless persons cannot exceed ",AV267,". You've entered ",AW267,".")</formula>
    </cfRule>
  </conditionalFormatting>
  <conditionalFormatting sqref="AG268:AL268">
    <cfRule type="expression" dxfId="340" priority="351">
      <formula>$A$270=CONCATENATE("Error. Homeless veterans cannot exceed ",AV267,". You've entered ",AW268,".")</formula>
    </cfRule>
  </conditionalFormatting>
  <conditionalFormatting sqref="A305:AL305">
    <cfRule type="cellIs" dxfId="339" priority="5" operator="equal">
      <formula>"Confirm sources of leveraging, program income collected, program income expended, and household rent payments are correct. Update your coversheet if necessary."</formula>
    </cfRule>
    <cfRule type="cellIs" dxfId="338" priority="339" operator="equal">
      <formula>"Looking good! Proceed to Part 5: TBRA Outcomes."</formula>
    </cfRule>
    <cfRule type="cellIs" dxfId="337" priority="340" operator="equal">
      <formula>"Enter data for household rent payments to private landlords."</formula>
    </cfRule>
    <cfRule type="cellIs" dxfId="336" priority="341" operator="equal">
      <formula>"Error. You have entered household rent payment data, but your coversheet indicates that none of your households made any rent payments. Please resolve this discrepancy."</formula>
    </cfRule>
    <cfRule type="cellIs" dxfId="335" priority="342" operator="equal">
      <formula>"Total program income collected must equal total program income expended."</formula>
    </cfRule>
    <cfRule type="cellIs" dxfId="334" priority="343" operator="equal">
      <formula>"Enter data for all HOPWA program income expended."</formula>
    </cfRule>
    <cfRule type="cellIs" dxfId="333" priority="344" operator="equal">
      <formula>"Error. You have entered program income data, but your coversheet indicates that you did not expend HOPWA program income. Please resolve this discrepancy."</formula>
    </cfRule>
    <cfRule type="cellIs" dxfId="332" priority="345" operator="equal">
      <formula>"Enter data for all HOPWA program income collected."</formula>
    </cfRule>
    <cfRule type="cellIs" dxfId="331" priority="346" operator="equal">
      <formula>"Error. You have entered program income data, but your coversheet indicates that you did not collect HOPWA program income. Please resolve this discrepancy."</formula>
    </cfRule>
    <cfRule type="cellIs" dxfId="330" priority="347" operator="equal">
      <formula>"Complete the entry for public and/or private sources of funding leveraged and expended in support of the HOPWA program."</formula>
    </cfRule>
    <cfRule type="cellIs" dxfId="329" priority="348" operator="equal">
      <formula>"Enter data for all public and/or private sources of funding leveraged and expended in support of the HOPWA program."</formula>
    </cfRule>
    <cfRule type="cellIs" dxfId="328" priority="349" operator="equal">
      <formula>"Error. You have entered leveraging data, but your coversheet indicates that you did not leverage funding in support of the HOPWA program. Please resolve this discrepancy."</formula>
    </cfRule>
    <cfRule type="cellIs" dxfId="327" priority="350" operator="equal">
      <formula>"Error. If this is a semi-annual report, this section should be blank."</formula>
    </cfRule>
  </conditionalFormatting>
  <conditionalFormatting sqref="B355:AL355">
    <cfRule type="cellIs" dxfId="326" priority="234" operator="equal">
      <formula>"If no households accessed and/or maintained any sources of income, please select ""yes""."</formula>
    </cfRule>
    <cfRule type="cellIs" dxfId="325" priority="300" operator="equal">
      <formula>"Looking good! Proceed to Part 5: STRMU Outcomes."</formula>
    </cfRule>
    <cfRule type="cellIs" dxfId="324" priority="301" operator="equal">
      <formula>CONCATENATE("Enter the number of households by household status. Total must equal ",AN307,". You've entered ",AQ341,".")</formula>
    </cfRule>
    <cfRule type="cellIs" dxfId="323" priority="302" operator="equal">
      <formula>"Enter the number of households that accessed and/or maintained these sources of medical insurance and/or assistance."</formula>
    </cfRule>
    <cfRule type="cellIs" dxfId="322" priority="303" operator="equal">
      <formula>"Select whether each source of medical insurance and/or assistance is applicable."</formula>
    </cfRule>
    <cfRule type="cellIs" dxfId="321" priority="304" operator="equal">
      <formula>CONCATENATE("Error. The total number of households for these income categories cannot be less than ",AN320," at minimum.")</formula>
    </cfRule>
    <cfRule type="cellIs" dxfId="320" priority="305" operator="equal">
      <formula>CONCATENATE("Error. If ",AG332," out of ",AN307," households had no income, then the total number of households for all other income categories cannot be less than ",AN320," at minimum.")</formula>
    </cfRule>
    <cfRule type="cellIs" dxfId="319" priority="306" operator="equal">
      <formula>"Enter the number of households that accessed and/or maintained these sources of income."</formula>
    </cfRule>
    <cfRule type="cellIs" dxfId="318" priority="307" operator="equal">
      <formula>CONCATENATE("If no households accessed and/or maintained any sources of income, then the total number of households that had no income should equal ",AN307,".")</formula>
    </cfRule>
    <cfRule type="cellIs" dxfId="317" priority="308" operator="equal">
      <formula>"If no households accessed and/or maintained any sources of income, please select """"yes""""."</formula>
    </cfRule>
    <cfRule type="cellIs" dxfId="316" priority="309" operator="equal">
      <formula>CONCATENATE("Error. If ",AG332," out of ",AN307," households had no income, then the number of households for each other income category cannot exceed ",AN320,".")</formula>
    </cfRule>
    <cfRule type="cellIs" dxfId="315" priority="310" operator="equal">
      <formula>"Select whether each source of income is applicable."</formula>
    </cfRule>
    <cfRule type="cellIs" dxfId="314" priority="311" operator="equal">
      <formula>CONCATENATE("Enter the number of households by longevity. Total must equal ",AN307,". You've entered ",AQ314,".")</formula>
    </cfRule>
    <cfRule type="cellIs" dxfId="313" priority="312" operator="equal">
      <formula>"Enter the number of households with eligible individuals that experienced these health outcomes."</formula>
    </cfRule>
    <cfRule type="cellIs" dxfId="312" priority="313" operator="equal">
      <formula>"Select whether each health outcome is applicable."</formula>
    </cfRule>
    <cfRule type="cellIs" dxfId="311" priority="314" operator="equal">
      <formula>CONCATENATE("Enter the number of households by income level. Total must equal ",AN307,". You've entered ",AQ307,".")</formula>
    </cfRule>
    <cfRule type="cellIs" dxfId="310" priority="315" operator="equal">
      <formula>CONCATENATE("Error. Number of households cannot exceed ",AN307,".")</formula>
    </cfRule>
    <cfRule type="cellIs" dxfId="309" priority="316" operator="equal">
      <formula>"Error. You've indicated this is not applicable, but you've entered outcome data. Please resolve this discrepancy."</formula>
    </cfRule>
    <cfRule type="cellIs" dxfId="308" priority="317" operator="equal">
      <formula>"You've entered outcome data, but your coversheet indicates that you did not undertake this activity. Please resolve this discrepancy."</formula>
    </cfRule>
    <cfRule type="cellIs" dxfId="307" priority="338" operator="equal">
      <formula>"Error. If this is a semi-annual report, this section should be blank."</formula>
    </cfRule>
  </conditionalFormatting>
  <conditionalFormatting sqref="B475:AL475">
    <cfRule type="cellIs" dxfId="306" priority="160" operator="equal">
      <formula>"Looking good! Proceed to Part 5: Access to Care Outcomes."</formula>
    </cfRule>
    <cfRule type="cellIs" dxfId="305" priority="161" operator="equal">
      <formula>CONCATENATE("Enter the number of households by household status. Total must equal ",AN451,". You've entered ",AQ472,".")</formula>
    </cfRule>
    <cfRule type="cellIs" dxfId="304" priority="162" operator="equal">
      <formula>"Enter the number of households that accessed and/or maintained these sources of medical insurance and/or assistance."</formula>
    </cfRule>
    <cfRule type="cellIs" dxfId="303" priority="163" operator="equal">
      <formula>"Select whether each source of medical insurance and/or assistance is applicable."</formula>
    </cfRule>
    <cfRule type="cellIs" dxfId="302" priority="164" operator="equal">
      <formula>CONCATENATE("Error. The total number of households for these income categories cannot be less than ",AN455," at minimum.")</formula>
    </cfRule>
    <cfRule type="cellIs" dxfId="301" priority="165" operator="equal">
      <formula>CONCATENATE("Error. If ",AG463," out of ",AN451," households had no income, then the total number of households for all other income categories cannot be less than ",AN455," at minimum.")</formula>
    </cfRule>
    <cfRule type="cellIs" dxfId="300" priority="166" operator="equal">
      <formula>"Enter the number of households that accessed and/or maintained these sources of income."</formula>
    </cfRule>
    <cfRule type="cellIs" dxfId="299" priority="167" operator="equal">
      <formula>CONCATENATE("If no households accessed and/or maintained any sources of income, then the total number of households that had no income should equal ",AN451,".")</formula>
    </cfRule>
    <cfRule type="cellIs" dxfId="298" priority="168" operator="equal">
      <formula>"If no households accessed and/or maintained any sources of income, please select ""yes""."</formula>
    </cfRule>
    <cfRule type="cellIs" dxfId="297" priority="170" operator="equal">
      <formula>CONCATENATE("Error. If ",AG463," out of ",AN451," households had no income, then the number of households for each other income category cannot exceed ",AN455,".")</formula>
    </cfRule>
    <cfRule type="cellIs" dxfId="296" priority="171" operator="equal">
      <formula>"Select whether each source of income is applicable."</formula>
    </cfRule>
    <cfRule type="cellIs" dxfId="295" priority="172" operator="equal">
      <formula>CONCATENATE("Error. Number of households cannot exceed ",AN451,".")</formula>
    </cfRule>
    <cfRule type="cellIs" dxfId="294" priority="173" operator="equal">
      <formula>"Error. You've indicated this is not applicable, but you've entered outcome data. Please resolve this discrepancy."</formula>
    </cfRule>
    <cfRule type="cellIs" dxfId="293" priority="297" operator="equal">
      <formula>"You've entered outcome data, but your coversheet indicates that you did not undertake this activity. Please resolve this discrepancy."</formula>
    </cfRule>
    <cfRule type="cellIs" dxfId="292" priority="335" operator="equal">
      <formula>"Error. If this is a semi-annual report, this section should be blank."</formula>
    </cfRule>
  </conditionalFormatting>
  <conditionalFormatting sqref="B510:AL510">
    <cfRule type="cellIs" dxfId="291" priority="93" operator="equal">
      <formula>CONCATENATE("Error. At least ",AU485," TBRA households, ",AU486," STRMU households, ",AU487," FBHA households, and ",AU488," PHP households had earned income from employment (minimum must be ",AU489,").")</formula>
    </cfRule>
    <cfRule type="cellIs" dxfId="290" priority="133" operator="equal">
      <formula>"Looking good! Proceed to Part 6: Facility-Based Housing Assistance."</formula>
    </cfRule>
    <cfRule type="cellIs" dxfId="289" priority="134" operator="equal">
      <formula>"Enter the number of households that met the criteria for these additional reporting elements."</formula>
    </cfRule>
    <cfRule type="cellIs" dxfId="288" priority="135" operator="equal">
      <formula>"Error. If requests were applicable, then either internal or external must be ""yes""."</formula>
    </cfRule>
    <cfRule type="cellIs" dxfId="287" priority="136" operator="equal">
      <formula>"Error. If this type of request was not applicable, then this must be ""no""."</formula>
    </cfRule>
    <cfRule type="cellIs" dxfId="286" priority="137" operator="equal">
      <formula>"Error. If requests were not applicable, then this must be ""no""."</formula>
    </cfRule>
    <cfRule type="cellIs" dxfId="285" priority="138" operator="equal">
      <formula>"Select whether each additional reporting element is applicable."</formula>
    </cfRule>
    <cfRule type="cellIs" dxfId="284" priority="139" operator="equal">
      <formula>"Error. Number of households is too high."</formula>
    </cfRule>
    <cfRule type="cellIs" dxfId="283" priority="140" operator="equal">
      <formula>"Error. You've indicated this is not applicable, but you've entered outcome data. Please resolve this discrepancy."</formula>
    </cfRule>
    <cfRule type="cellIs" dxfId="282" priority="141" operator="equal">
      <formula>"HUD has set a national goal of at least 80 percent for each outcome measure in Rows 1-5. If any outcome measures did not reach 80 percent, briefly describe why."</formula>
    </cfRule>
    <cfRule type="cellIs" dxfId="281" priority="142" operator="equal">
      <formula>CONCATENATE("Error. At least ",AS485," TBRA households, ",AS486," STRMU households, ",AS487," FBHA households, and ",AS488," PHP households had income (minimum must be ",AS489,").")</formula>
    </cfRule>
    <cfRule type="cellIs" dxfId="280" priority="143" operator="equal">
      <formula>CONCATENATE("Error. At least ",AT485," TBRA households, ",AT486," STRMU households, ",AT487," FBHA households, and ",AT488," PHP households had medical insurance and/or assistance (minimum must be ",AT489,").")</formula>
    </cfRule>
    <cfRule type="cellIs" dxfId="279" priority="144" operator="equal">
      <formula>"Enter the number of households that achieved access to care goals."</formula>
    </cfRule>
    <cfRule type="cellIs" dxfId="278" priority="145" operator="equal">
      <formula>"Select whether each access to care outcome is applicable."</formula>
    </cfRule>
    <cfRule type="cellIs" dxfId="277" priority="146" operator="equal">
      <formula>CONCATENATE("Error. Number of households cannot exceed ",AN477,".")</formula>
    </cfRule>
    <cfRule type="cellIs" dxfId="276" priority="147" operator="equal">
      <formula>"Error. You've indicated this is not applicable, but you've entered outcome data. Please resolve this discrepancy."</formula>
    </cfRule>
    <cfRule type="cellIs" dxfId="275" priority="296" operator="equal">
      <formula>"You've entered outcome data, but your housing assistance household output was 0. Please resolve this discrepancy."</formula>
    </cfRule>
    <cfRule type="cellIs" dxfId="274" priority="334" operator="equal">
      <formula>"Error. If this is a semi-annual report, this section should be blank."</formula>
    </cfRule>
  </conditionalFormatting>
  <conditionalFormatting sqref="A538:B538 E538:AL538">
    <cfRule type="cellIs" dxfId="273" priority="94" operator="equal">
      <formula>"Data validation is complete."</formula>
    </cfRule>
    <cfRule type="cellIs" dxfId="272" priority="95" operator="equal">
      <formula>CONCATENATE("The number of households that received TSH services is ",AN543,". For this to be true, you need more households under Operating, Master-Leasing, and/or Project-Based Rental Assistance.")</formula>
    </cfRule>
    <cfRule type="cellIs" dxfId="271" priority="96" operator="equal">
      <formula>CONCATENATE("The number of households that received STSH services is ",AN542,". For this to be true, you need more households under Leasing, Operating, and/or Hotel/Motel.")</formula>
    </cfRule>
    <cfRule type="cellIs" dxfId="270" priority="97" operator="equal">
      <formula>"Error. Total households for this facility cannot be greater than the number of households that received FBHA services."</formula>
    </cfRule>
    <cfRule type="cellIs" dxfId="269" priority="98" operator="equal">
      <formula>"Row 15 cannot be less than the greater of Rows 4, 6, 8, 10, and 12. Reduce adjustment for duplication."</formula>
    </cfRule>
    <cfRule type="cellIs" dxfId="268" priority="99" operator="equal">
      <formula>"You've entered an adjustment for duplication, but your coversheet indicates none of your households received more than one type of FBHA support. Please resolve this discrepancy."</formula>
    </cfRule>
    <cfRule type="cellIs" dxfId="267" priority="100" operator="equal">
      <formula>"You've not entered an adjustment for duplication, but your coversheet indicates some households received more than one type of FBHA support. Please resolve this discrepancy."</formula>
    </cfRule>
    <cfRule type="cellIs" dxfId="266" priority="101" operator="equal">
      <formula>"If this was a hotel/motel facility, the number of households served must equal the number of units placed into service this year."</formula>
    </cfRule>
    <cfRule type="cellIs" dxfId="265" priority="102" operator="equal">
      <formula>"If this was a hotel/motel facility, the facility must have been placed into service this year."</formula>
    </cfRule>
    <cfRule type="cellIs" dxfId="264" priority="103" operator="equal">
      <formula>"Complete the entry for facility information."</formula>
    </cfRule>
    <cfRule type="cellIs" dxfId="263" priority="104" operator="equal">
      <formula>"Error. The number of households that received Project-Based Rental Assistance support is greater than the number of households that received TSH services."</formula>
    </cfRule>
    <cfRule type="cellIs" dxfId="262" priority="105" operator="equal">
      <formula>"Error. The number of households that received Master-Leasing support is greater than the number of households that received TSH services."</formula>
    </cfRule>
    <cfRule type="cellIs" dxfId="261" priority="106" operator="equal">
      <formula>"Error. The number of households that received Hotel/Motel support is greater than the number of households that received STSH services."</formula>
    </cfRule>
    <cfRule type="cellIs" dxfId="260" priority="107" operator="equal">
      <formula>"Error. The number of households that received Operating support is greater than the number of households that received FBHA services."</formula>
    </cfRule>
    <cfRule type="cellIs" dxfId="259" priority="108" operator="equal">
      <formula>"Error. The number of households that received Leasing support is greater than the number of households that received STSH services."</formula>
    </cfRule>
    <cfRule type="cellIs" dxfId="258" priority="109" operator="equal">
      <formula>"Error. You have entered households under Project-Based Rental Assistance support for this facility, but you have not entered any expenditures."</formula>
    </cfRule>
    <cfRule type="cellIs" dxfId="257" priority="110" operator="equal">
      <formula>"Error. You have entered households under Master-Leasing support for this facility, but you have not entered any expenditures."</formula>
    </cfRule>
    <cfRule type="cellIs" dxfId="256" priority="111" operator="equal">
      <formula>"Error. You have entered households under Hotel/Motel support for this facility, but you have not entered any expenditures."</formula>
    </cfRule>
    <cfRule type="cellIs" dxfId="255" priority="112" operator="equal">
      <formula>"Error. You have entered households under Operating support for this facility, but you have not entered any expenditures."</formula>
    </cfRule>
    <cfRule type="cellIs" dxfId="254" priority="113" operator="equal">
      <formula>"Error. You have entered households under Leasing support for this facility, but you have not entered any expenditures."</formula>
    </cfRule>
    <cfRule type="cellIs" dxfId="253" priority="114" operator="equal">
      <formula>"Error. You have indicated that this facility was not placed into service this year, but you have entered the number of units placed into service. Please resolve this discrepancy."</formula>
    </cfRule>
    <cfRule type="cellIs" dxfId="252" priority="115" operator="equal">
      <formula>"Error. If this was a hotel/motel facility, then other sources of support for this facility should be blank."</formula>
    </cfRule>
    <cfRule type="cellIs" dxfId="251" priority="116" operator="equal">
      <formula>"Error. If you provided TSH services, then you must have expenditures under Operating, Master-Leasing, and/or Project-Based Rental Assistance support."</formula>
    </cfRule>
    <cfRule type="cellIs" dxfId="250" priority="117" operator="equal">
      <formula>"Error. If you provided STSH services, then you must have expenditures under Leasing, Operating, and/or Hotel/Motel support."</formula>
    </cfRule>
    <cfRule type="cellIs" dxfId="249" priority="118" operator="equal">
      <formula>CONCATENATE("Enter expenditure outputs for Facility-Based Housing Assistance. Total expenditures must equal $",TEXT(AO537,"#,##0.00")," You've entered $",TEXT(AO552,"#,##0.00"),".")</formula>
    </cfRule>
    <cfRule type="cellIs" dxfId="248" priority="295" operator="equal">
      <formula>"Error. You have entered Facility-Based Housing Assistance data, but your coversheet indicates that you did not undertake this activity. Please resolve this discrepancy."</formula>
    </cfRule>
    <cfRule type="cellIs" dxfId="247" priority="333" operator="equal">
      <formula>"Error. If this is a semi-annual report, this section should be blank."</formula>
    </cfRule>
  </conditionalFormatting>
  <conditionalFormatting sqref="U285:Z289">
    <cfRule type="expression" dxfId="246" priority="324">
      <formula>AND($A$305="Complete the entry for public and/or private sources of funding leveraged and expended in support of the HOPWA program.",AV285=1)</formula>
    </cfRule>
    <cfRule type="expression" dxfId="245" priority="331">
      <formula>AND($A$305="Error. You have entered leveraging data, but your coversheet indicates that you did not leverage funding in support of the HOPWA program. Please resolve this discrepancy.",AP285=1)</formula>
    </cfRule>
  </conditionalFormatting>
  <conditionalFormatting sqref="AA276:AF289">
    <cfRule type="expression" dxfId="244" priority="323">
      <formula>AND($A$305="Complete the entry for public and/or private sources of funding leveraged and expended in support of the HOPWA program.",AW276=1)</formula>
    </cfRule>
    <cfRule type="expression" dxfId="243" priority="330">
      <formula>AND($A$305="Error. You have entered leveraging data, but your coversheet indicates that you did not leverage funding in support of the HOPWA program. Please resolve this discrepancy.",AQ276=1)</formula>
    </cfRule>
  </conditionalFormatting>
  <conditionalFormatting sqref="AG276:AL289">
    <cfRule type="expression" dxfId="242" priority="322">
      <formula>AND($A$305="Complete the entry for public and/or private sources of funding leveraged and expended in support of the HOPWA program.",AX276=1)</formula>
    </cfRule>
    <cfRule type="expression" dxfId="241" priority="329">
      <formula>AND($A$305="Error. You have entered leveraging data, but your coversheet indicates that you did not leverage funding in support of the HOPWA program. Please resolve this discrepancy.",AR276=1)</formula>
    </cfRule>
  </conditionalFormatting>
  <conditionalFormatting sqref="AA292:AF293">
    <cfRule type="expression" dxfId="240" priority="321">
      <formula>$A$305="Enter data for all HOPWA program income collected."</formula>
    </cfRule>
    <cfRule type="expression" dxfId="239" priority="328">
      <formula>AND($A$305="Error. You have entered program income data, but your coversheet indicates that you did not collect HOPWA program income. Please resolve this discrepancy.",AQ292=1)</formula>
    </cfRule>
  </conditionalFormatting>
  <conditionalFormatting sqref="AA296:AF297">
    <cfRule type="expression" dxfId="238" priority="319">
      <formula>$A$305="Total program income collected must equal total program income expended."</formula>
    </cfRule>
    <cfRule type="expression" dxfId="237" priority="320">
      <formula>$A$305="Enter data for all HOPWA program income expended."</formula>
    </cfRule>
    <cfRule type="expression" dxfId="236" priority="327">
      <formula>AND($A$305="Error. You have entered program income data, but your coversheet indicates that you did not expend HOPWA program income. Please resolve this discrepancy.",AQ296=1)</formula>
    </cfRule>
  </conditionalFormatting>
  <conditionalFormatting sqref="AA300:AF300">
    <cfRule type="expression" dxfId="235" priority="318">
      <formula>$A$305="Enter data for household rent payments to private landlords."</formula>
    </cfRule>
    <cfRule type="expression" dxfId="234" priority="326">
      <formula>AND($A$305="Error. You have entered household rent payment data, but your coversheet indicates that none of your households made any rent payments. Please resolve this discrepancy.",AQ300=1)</formula>
    </cfRule>
  </conditionalFormatting>
  <conditionalFormatting sqref="U285:Z289 AA276:AL289">
    <cfRule type="expression" dxfId="233" priority="325">
      <formula>$A$305="Enter data for all public and/or private sources of funding leveraged and expended in support of the HOPWA program."</formula>
    </cfRule>
  </conditionalFormatting>
  <conditionalFormatting sqref="AD311:AF312 AD320:AF332 AD334:AF339">
    <cfRule type="expression" dxfId="232" priority="294">
      <formula>AND($B$355="You've entered outcome data, but your coversheet indicates that you did not undertake this activity. Please resolve this discrepancy.",AO311=1)</formula>
    </cfRule>
  </conditionalFormatting>
  <conditionalFormatting sqref="AG307:AL309 AG311:AL312 AG314:AL318 AG320:AL332 AG334:AL339 AG341:AL354">
    <cfRule type="expression" dxfId="231" priority="293">
      <formula>AND($B$355="You've entered outcome data, but your coversheet indicates that you did not undertake this activity. Please resolve this discrepancy.",AP307=1)</formula>
    </cfRule>
  </conditionalFormatting>
  <conditionalFormatting sqref="AD361:AF364 AD366:AF378 AD380:AF385">
    <cfRule type="expression" dxfId="230" priority="243">
      <formula>AND($B$402="Error. You've indicated this is not applicable, but you've entered outcome data. Please resolve this discrepancy.",AW361=1)</formula>
    </cfRule>
    <cfRule type="expression" dxfId="229" priority="292">
      <formula>AND($B$402="You've entered outcome data, but your coversheet indicates that you did not undertake this activity. Please resolve this discrepancy.",AO361=1)</formula>
    </cfRule>
  </conditionalFormatting>
  <conditionalFormatting sqref="AG357:AL359 AG361:AL364 AG366:AL378 AG380:AL385 AG387:AL401">
    <cfRule type="expression" dxfId="228" priority="291">
      <formula>AND($B$402="You've entered outcome data, but your coversheet indicates that you did not undertake this activity. Please resolve this discrepancy.",AP357=1)</formula>
    </cfRule>
  </conditionalFormatting>
  <conditionalFormatting sqref="AD414:AF426 AD428:AF433">
    <cfRule type="expression" dxfId="227" priority="290">
      <formula>AND($B$449="You've entered outcome data, but your coversheet indicates that you did not undertake this activity. Please resolve this discrepancy.",AO414=1)</formula>
    </cfRule>
  </conditionalFormatting>
  <conditionalFormatting sqref="AG404:AL406 AG408:AL412 AG414:AL426 AG428:AL433 AG435:AL448">
    <cfRule type="expression" dxfId="226" priority="289">
      <formula>AND($B$449="You've entered outcome data, but your coversheet indicates that you did not undertake this activity. Please resolve this discrepancy.",AP404=1)</formula>
    </cfRule>
  </conditionalFormatting>
  <conditionalFormatting sqref="AD451:AF463 AD465:AF470">
    <cfRule type="expression" dxfId="225" priority="288">
      <formula>AND($B$475="You've entered outcome data, but your coversheet indicates that you did not undertake this activity. Please resolve this discrepancy.",AO451=1)</formula>
    </cfRule>
  </conditionalFormatting>
  <conditionalFormatting sqref="AG451:AL463 AG465:AL470 AG472:AL474">
    <cfRule type="expression" dxfId="224" priority="287">
      <formula>AND($B$475="You've entered outcome data, but your coversheet indicates that you did not undertake this activity. Please resolve this discrepancy.",AP451=1)</formula>
    </cfRule>
  </conditionalFormatting>
  <conditionalFormatting sqref="AD477:AF482">
    <cfRule type="expression" dxfId="223" priority="132">
      <formula>AND($B$510="Select whether each access to care outcome is applicable.",AO477=0)</formula>
    </cfRule>
    <cfRule type="expression" dxfId="222" priority="286">
      <formula>AND($B$510="You've entered outcome data, but your housing assistance household output was 0. Please resolve this discrepancy.",AO477=1)</formula>
    </cfRule>
  </conditionalFormatting>
  <conditionalFormatting sqref="AG477:AL482">
    <cfRule type="expression" dxfId="221" priority="126">
      <formula>AND($AN$479=1,AT477=1)</formula>
    </cfRule>
    <cfRule type="expression" dxfId="220" priority="127">
      <formula>AND($B$510="Error. You've indicated this is not applicable, but you've entered outcome data. Please resolve this discrepancy.",AW477=1)</formula>
    </cfRule>
    <cfRule type="expression" dxfId="219" priority="131">
      <formula>AND($B$510="Enter the number of households that achieved access to care goals.",AS477=1)</formula>
    </cfRule>
    <cfRule type="expression" dxfId="218" priority="285">
      <formula>AND($B$510="You've entered outcome data, but your housing assistance household output was 0. Please resolve this discrepancy.",AP477=1)</formula>
    </cfRule>
  </conditionalFormatting>
  <conditionalFormatting sqref="O514:Q534">
    <cfRule type="expression" dxfId="217" priority="90">
      <formula>AND($A$538="Complete the entry for facility information.",AU514=1)</formula>
    </cfRule>
    <cfRule type="expression" dxfId="216" priority="283">
      <formula>AND($A$538="Error. You have entered Facility-Based Housing Assistance data, but your coversheet indicates that you did not undertake this activity. Please resolve this discrepancy.",AM514=1)</formula>
    </cfRule>
  </conditionalFormatting>
  <conditionalFormatting sqref="R514:T534">
    <cfRule type="expression" dxfId="215" priority="88">
      <formula>AND($A$538="Complete the entry for facility information.",AV514=1)</formula>
    </cfRule>
    <cfRule type="expression" dxfId="214" priority="282">
      <formula>AND($A$538="Error. You have entered Facility-Based Housing Assistance data, but your coversheet indicates that you did not undertake this activity. Please resolve this discrepancy.",AN514=1)</formula>
    </cfRule>
  </conditionalFormatting>
  <conditionalFormatting sqref="U514:W534">
    <cfRule type="expression" dxfId="213" priority="87">
      <formula>AND($A$538="Complete the entry for facility information.",AW514=1)</formula>
    </cfRule>
    <cfRule type="expression" dxfId="212" priority="281">
      <formula>AND($A$538="Error. You have entered Facility-Based Housing Assistance data, but your coversheet indicates that you did not undertake this activity. Please resolve this discrepancy.",AO514=1)</formula>
    </cfRule>
  </conditionalFormatting>
  <conditionalFormatting sqref="X514:Z534">
    <cfRule type="expression" dxfId="211" priority="86">
      <formula>AND($A$538="Complete the entry for facility information.",AX514=1)</formula>
    </cfRule>
    <cfRule type="expression" dxfId="210" priority="280">
      <formula>AND($A$538="Error. You have entered Facility-Based Housing Assistance data, but your coversheet indicates that you did not undertake this activity. Please resolve this discrepancy.",AP514=1)</formula>
    </cfRule>
  </conditionalFormatting>
  <conditionalFormatting sqref="AA514:AC534">
    <cfRule type="expression" dxfId="209" priority="85">
      <formula>AND($A$538="Complete the entry for facility information.",AY514=1)</formula>
    </cfRule>
    <cfRule type="expression" dxfId="208" priority="279">
      <formula>AND($A$538="Error. You have entered Facility-Based Housing Assistance data, but your coversheet indicates that you did not undertake this activity. Please resolve this discrepancy.",AQ514=1)</formula>
    </cfRule>
  </conditionalFormatting>
  <conditionalFormatting sqref="AD514:AF534">
    <cfRule type="expression" dxfId="207" priority="84">
      <formula>AND($A$538="Complete the entry for facility information.",AZ514=1)</formula>
    </cfRule>
    <cfRule type="expression" dxfId="206" priority="278">
      <formula>AND($A$538="Error. You have entered Facility-Based Housing Assistance data, but your coversheet indicates that you did not undertake this activity. Please resolve this discrepancy.",AR514=1)</formula>
    </cfRule>
  </conditionalFormatting>
  <conditionalFormatting sqref="AG514:AI534">
    <cfRule type="expression" dxfId="205" priority="83">
      <formula>AND($A$538="Complete the entry for facility information.",BA514=1)</formula>
    </cfRule>
    <cfRule type="expression" dxfId="204" priority="277">
      <formula>AND($A$538="Error. You have entered Facility-Based Housing Assistance data, but your coversheet indicates that you did not undertake this activity. Please resolve this discrepancy.",AS514=1)</formula>
    </cfRule>
  </conditionalFormatting>
  <conditionalFormatting sqref="AJ514:AL534">
    <cfRule type="expression" dxfId="203" priority="82">
      <formula>AND($A$538="Complete the entry for facility information.",BB514=1)</formula>
    </cfRule>
    <cfRule type="expression" dxfId="202" priority="276">
      <formula>AND($A$538="Error. You have entered Facility-Based Housing Assistance data, but your coversheet indicates that you did not undertake this activity. Please resolve this discrepancy.",AT514=1)</formula>
    </cfRule>
  </conditionalFormatting>
  <conditionalFormatting sqref="AG311:AL312 AG320:AL332 AG334:AL339">
    <cfRule type="expression" dxfId="201" priority="274">
      <formula>AND($AN$341=1,AT311=1)</formula>
    </cfRule>
    <cfRule type="expression" dxfId="200" priority="275">
      <formula>AND($B$355="Error. You've indicated this is not applicable, but you've entered outcome data. Please resolve this discrepancy.",AW311=1)</formula>
    </cfRule>
  </conditionalFormatting>
  <conditionalFormatting sqref="AG307:AL309">
    <cfRule type="expression" dxfId="199" priority="273">
      <formula>$AN$342=1</formula>
    </cfRule>
  </conditionalFormatting>
  <conditionalFormatting sqref="AD311:AF312">
    <cfRule type="expression" dxfId="198" priority="272">
      <formula>AND($B$355="Select whether each health outcome is applicable.",AO311=0)</formula>
    </cfRule>
  </conditionalFormatting>
  <conditionalFormatting sqref="AG311:AL312">
    <cfRule type="expression" dxfId="197" priority="271">
      <formula>AND($B$355="Enter the number of households with eligible individuals that experienced these health outcomes.",AS311=1)</formula>
    </cfRule>
  </conditionalFormatting>
  <conditionalFormatting sqref="AG314:AL318">
    <cfRule type="expression" dxfId="196" priority="270">
      <formula>$AN$343=1</formula>
    </cfRule>
  </conditionalFormatting>
  <conditionalFormatting sqref="AD320:AF332">
    <cfRule type="expression" dxfId="195" priority="269">
      <formula>AND($B$355="Select whether each source of income is applicable.",AO320=0)</formula>
    </cfRule>
  </conditionalFormatting>
  <conditionalFormatting sqref="AG320:AL331">
    <cfRule type="expression" dxfId="194" priority="264">
      <formula>$AN$347=1</formula>
    </cfRule>
    <cfRule type="expression" dxfId="193" priority="265">
      <formula>$AN$346=1</formula>
    </cfRule>
    <cfRule type="expression" dxfId="192" priority="268">
      <formula>AND($AN$344=1,AZ320=1)</formula>
    </cfRule>
  </conditionalFormatting>
  <conditionalFormatting sqref="AG332:AL332">
    <cfRule type="expression" dxfId="191" priority="267">
      <formula>$AN$345=1</formula>
    </cfRule>
  </conditionalFormatting>
  <conditionalFormatting sqref="AG320:AL332">
    <cfRule type="expression" dxfId="190" priority="266">
      <formula>AND($B$355="Enter the number of households that accessed and/or maintained these sources of income.",AS320=1)</formula>
    </cfRule>
  </conditionalFormatting>
  <conditionalFormatting sqref="AD334:AF339">
    <cfRule type="expression" dxfId="189" priority="263">
      <formula>AND($B$355="Select whether each source of medical insurance and/or assistance is applicable.",AO334=0)</formula>
    </cfRule>
  </conditionalFormatting>
  <conditionalFormatting sqref="AG334:AL339">
    <cfRule type="expression" dxfId="188" priority="262">
      <formula>AND($B$355="Enter the number of households that accessed and/or maintained these sources of medical insurance and/or assistance.",AS334=1)</formula>
    </cfRule>
  </conditionalFormatting>
  <conditionalFormatting sqref="AG357:AL359">
    <cfRule type="expression" dxfId="187" priority="242">
      <formula>$AN$388=1</formula>
    </cfRule>
  </conditionalFormatting>
  <conditionalFormatting sqref="AD361:AF364">
    <cfRule type="expression" dxfId="186" priority="241">
      <formula>AND($B$402="Select whether each longevity is applicable.",AO361=0)</formula>
    </cfRule>
  </conditionalFormatting>
  <conditionalFormatting sqref="AG361:AL364 AG366:AL378 AG380:AL385">
    <cfRule type="expression" dxfId="185" priority="240">
      <formula>AND($AN$387=1,AT361=1)</formula>
    </cfRule>
  </conditionalFormatting>
  <conditionalFormatting sqref="AG361:AL364">
    <cfRule type="expression" dxfId="184" priority="6">
      <formula>$AN$390=1</formula>
    </cfRule>
    <cfRule type="expression" dxfId="183" priority="239">
      <formula>AND($B$402="Enter the number of households by longevity.",AS361=1)</formula>
    </cfRule>
  </conditionalFormatting>
  <conditionalFormatting sqref="AG362:AL364">
    <cfRule type="expression" dxfId="182" priority="238">
      <formula>AND($AN$389=1,AY362=1)</formula>
    </cfRule>
  </conditionalFormatting>
  <conditionalFormatting sqref="AD366:AF378">
    <cfRule type="expression" dxfId="181" priority="237">
      <formula>AND($B$402="Select whether each source of income is applicable.",AO366=0)</formula>
    </cfRule>
  </conditionalFormatting>
  <conditionalFormatting sqref="AD378:AF378">
    <cfRule type="expression" dxfId="180" priority="235">
      <formula>$B$402="If no households accessed and/or maintained any sources of income, please select ""yes""."</formula>
    </cfRule>
  </conditionalFormatting>
  <conditionalFormatting sqref="AD332:AF332">
    <cfRule type="expression" dxfId="179" priority="233">
      <formula>$B$355="If no households accessed and/or maintained any sources of income, please select ""yes""."</formula>
    </cfRule>
  </conditionalFormatting>
  <conditionalFormatting sqref="AG366:AL378">
    <cfRule type="expression" dxfId="178" priority="232">
      <formula>AND($B$402="Enter the number of households that accessed and/or maintained these sources of income.",AS366=1)</formula>
    </cfRule>
  </conditionalFormatting>
  <conditionalFormatting sqref="AD380:AF385">
    <cfRule type="expression" dxfId="177" priority="228">
      <formula>AND($B$402="Select whether each source of medical insurance and/or assistance is applicable.",AO380=0)</formula>
    </cfRule>
  </conditionalFormatting>
  <conditionalFormatting sqref="AG380:AL385">
    <cfRule type="expression" dxfId="176" priority="227">
      <formula>AND($B$402="Enter the number of households that accessed and/or maintained these sources of medical insurance and/or assistance.",AS380=1)</formula>
    </cfRule>
  </conditionalFormatting>
  <conditionalFormatting sqref="B449:AL449">
    <cfRule type="cellIs" dxfId="175" priority="188" operator="equal">
      <formula>"Select whether each source of income is applicable."</formula>
    </cfRule>
    <cfRule type="cellIs" dxfId="174" priority="191" operator="equal">
      <formula>"Looking good! Proceed to Part 5: PHP Outcomes."</formula>
    </cfRule>
    <cfRule type="cellIs" dxfId="173" priority="192" operator="equal">
      <formula>CONCATENATE("Enter the number of households by household status. Total must equal ",AN404,". You've entered ",AQ435,".")</formula>
    </cfRule>
    <cfRule type="cellIs" dxfId="172" priority="193" operator="equal">
      <formula>"Enter the number of households that accessed and/or maintained these sources of medical insurance and/or assistance."</formula>
    </cfRule>
    <cfRule type="cellIs" dxfId="171" priority="194" operator="equal">
      <formula>"Select whether each source of medical insurance and/or assistance is applicable."</formula>
    </cfRule>
    <cfRule type="cellIs" dxfId="170" priority="195" operator="equal">
      <formula>CONCATENATE("Error. The total number of households for these income categories cannot be less than ",AN414," at minimum.")</formula>
    </cfRule>
    <cfRule type="cellIs" dxfId="169" priority="196" operator="equal">
      <formula>CONCATENATE("Error. If ",AG426," out of ",AN404," households had no income, then the total number of households for all other income categories cannot be less than ",AN414," at minimum.")</formula>
    </cfRule>
    <cfRule type="cellIs" dxfId="168" priority="197" operator="equal">
      <formula>"Enter the number of households that accessed and/or maintained these sources of income."</formula>
    </cfRule>
    <cfRule type="cellIs" dxfId="167" priority="198" operator="equal">
      <formula>CONCATENATE("If no households accessed and/or maintained any sources of income, then the total number of households that had no income should equal ",AN404,".")</formula>
    </cfRule>
    <cfRule type="cellIs" dxfId="166" priority="199" operator="equal">
      <formula>"If no households accessed and/or maintained any sources of income, please select ""yes""."</formula>
    </cfRule>
    <cfRule type="cellIs" dxfId="165" priority="200" operator="equal">
      <formula>CONCATENATE("Error. If ",AG426," out of ",AN404," households had no income, then the number of households for each other income category cannot exceed ",AN414,".")</formula>
    </cfRule>
    <cfRule type="cellIs" dxfId="164" priority="201" operator="equal">
      <formula>"""Select whether each source of income is applicable."""</formula>
    </cfRule>
    <cfRule type="cellIs" dxfId="163" priority="202" operator="equal">
      <formula>CONCATENATE("Enter the number of households by longevity. Total must equal ",AN404,". You've entered ",AQ408,".")</formula>
    </cfRule>
    <cfRule type="cellIs" dxfId="162" priority="203" operator="equal">
      <formula>CONCATENATE("Enter the number of households by income level. Total must equal ",AN404,". You've entered ",AQ404,".")</formula>
    </cfRule>
    <cfRule type="cellIs" dxfId="161" priority="204" operator="equal">
      <formula>CONCATENATE("Error. Number of households cannot exceed ",AN404,".")</formula>
    </cfRule>
    <cfRule type="cellIs" dxfId="160" priority="205" operator="equal">
      <formula>"Error. You've indicated this is not applicable, but you've entered outcome data. Please resolve this discrepancy."</formula>
    </cfRule>
  </conditionalFormatting>
  <conditionalFormatting sqref="AG404:AL406">
    <cfRule type="expression" dxfId="159" priority="190">
      <formula>$AN$436=1</formula>
    </cfRule>
  </conditionalFormatting>
  <conditionalFormatting sqref="AG408:AL412">
    <cfRule type="expression" dxfId="158" priority="189">
      <formula>$AN$437=1</formula>
    </cfRule>
  </conditionalFormatting>
  <conditionalFormatting sqref="AD414:AF426">
    <cfRule type="expression" dxfId="157" priority="187">
      <formula>AND($B$449="Select whether each source of income is applicable.",AO414=0)</formula>
    </cfRule>
  </conditionalFormatting>
  <conditionalFormatting sqref="AG414:AL426">
    <cfRule type="expression" dxfId="156" priority="186">
      <formula>AND($B$449="Enter the number of households that accessed and/or maintained these sources of income.",AS414=1)</formula>
    </cfRule>
  </conditionalFormatting>
  <conditionalFormatting sqref="AD428:AF433">
    <cfRule type="expression" dxfId="155" priority="185">
      <formula>AND($B$449="Select whether each source of medical insurance and/or assistance is applicable.",AO428=0)</formula>
    </cfRule>
  </conditionalFormatting>
  <conditionalFormatting sqref="AG428:AL433">
    <cfRule type="expression" dxfId="154" priority="184">
      <formula>AND($B$449="Enter the number of households that accessed and/or maintained these sources of medical insurance and/or assistance.",AS428=1)</formula>
    </cfRule>
  </conditionalFormatting>
  <conditionalFormatting sqref="AG435:AL448">
    <cfRule type="expression" dxfId="153" priority="183">
      <formula>$AN$442=1</formula>
    </cfRule>
  </conditionalFormatting>
  <conditionalFormatting sqref="AG414:AL426 AG428:AL433">
    <cfRule type="expression" dxfId="152" priority="181">
      <formula>AND($AN$435=1,AT414=1)</formula>
    </cfRule>
    <cfRule type="expression" dxfId="151" priority="182">
      <formula>AND($B$449="Error. You've indicated this is not applicable, but you've entered outcome data. Please resolve this discrepancy.",AW414=1)</formula>
    </cfRule>
  </conditionalFormatting>
  <conditionalFormatting sqref="AG414:AL425">
    <cfRule type="expression" dxfId="150" priority="174">
      <formula>$AN$441=1</formula>
    </cfRule>
    <cfRule type="expression" dxfId="149" priority="175">
      <formula>$AN$440=1</formula>
    </cfRule>
    <cfRule type="expression" dxfId="148" priority="180">
      <formula>AND($AN$438=1,AZ414=1)</formula>
    </cfRule>
  </conditionalFormatting>
  <conditionalFormatting sqref="AD426:AF426">
    <cfRule type="expression" dxfId="147" priority="177">
      <formula>$B$449="If no households accessed and/or maintained any sources of income, please select ""yes""."</formula>
    </cfRule>
  </conditionalFormatting>
  <conditionalFormatting sqref="AG426:AL426">
    <cfRule type="expression" dxfId="146" priority="176">
      <formula>$AN$439=1</formula>
    </cfRule>
  </conditionalFormatting>
  <conditionalFormatting sqref="AG451:AL463 AG465:AL470">
    <cfRule type="expression" dxfId="145" priority="158">
      <formula>AND($AN$468=1,AT451=1)</formula>
    </cfRule>
    <cfRule type="expression" dxfId="144" priority="159">
      <formula>AND($B$475="Error. You've indicated this is not applicable, but you've entered outcome data. Please resolve this discrepancy.",AW451=1)</formula>
    </cfRule>
  </conditionalFormatting>
  <conditionalFormatting sqref="AD451:AF463">
    <cfRule type="expression" dxfId="143" priority="157">
      <formula>AND($B$475="Select whether each source of income is applicable.",AO451=0)</formula>
    </cfRule>
  </conditionalFormatting>
  <conditionalFormatting sqref="AG451:AL462">
    <cfRule type="expression" dxfId="142" priority="151">
      <formula>$AN$472=1</formula>
    </cfRule>
    <cfRule type="expression" dxfId="141" priority="152">
      <formula>$AN$471=1</formula>
    </cfRule>
    <cfRule type="expression" dxfId="140" priority="156">
      <formula>AND($AN$469=1,AZ451=1)</formula>
    </cfRule>
  </conditionalFormatting>
  <conditionalFormatting sqref="AD463:AF463">
    <cfRule type="expression" dxfId="139" priority="155">
      <formula>$B$475="If no households accessed and/or maintained any sources of income, please select ""yes""."</formula>
    </cfRule>
  </conditionalFormatting>
  <conditionalFormatting sqref="AG463:AL463">
    <cfRule type="expression" dxfId="138" priority="154">
      <formula>$AN$470=1</formula>
    </cfRule>
  </conditionalFormatting>
  <conditionalFormatting sqref="AG451:AL463">
    <cfRule type="expression" dxfId="137" priority="153">
      <formula>AND($B$475="Enter the number of households that accessed and/or maintained these sources of income.",AS451=1)</formula>
    </cfRule>
  </conditionalFormatting>
  <conditionalFormatting sqref="AD465:AF470">
    <cfRule type="expression" dxfId="136" priority="150">
      <formula>AND($B$475="Select whether each source of medical insurance and/or assistance is applicable.",AO465=0)</formula>
    </cfRule>
  </conditionalFormatting>
  <conditionalFormatting sqref="AG465:AL470">
    <cfRule type="expression" dxfId="135" priority="149">
      <formula>AND($B$475="Enter the number of households that accessed and/or maintained these sources of medical insurance and/or assistance.",AS465=1)</formula>
    </cfRule>
  </conditionalFormatting>
  <conditionalFormatting sqref="AG472:AL474">
    <cfRule type="expression" dxfId="134" priority="148">
      <formula>$AN$473=1</formula>
    </cfRule>
  </conditionalFormatting>
  <conditionalFormatting sqref="C485:AL491">
    <cfRule type="expression" dxfId="133" priority="130">
      <formula>$B$510="HUD has set a national goal of at least 80 percent for each outcome measure in Rows 1-5. If any outcome measures did not reach 80 percent, briefly describe why."</formula>
    </cfRule>
  </conditionalFormatting>
  <conditionalFormatting sqref="AD494:AF509">
    <cfRule type="expression" dxfId="132" priority="129">
      <formula>AND($B$510="Select whether each additional reporting element is applicable.",AO494=0)</formula>
    </cfRule>
  </conditionalFormatting>
  <conditionalFormatting sqref="AG494:AL509">
    <cfRule type="expression" dxfId="131" priority="122">
      <formula>AND($B$510="Error. Number of households is too high.",AT494=1)</formula>
    </cfRule>
    <cfRule type="expression" dxfId="130" priority="123">
      <formula>AND($B$510="Error. You've indicated this is not applicable, but you've entered outcome data. Please resolve this discrepancy.",AW494=1)</formula>
    </cfRule>
    <cfRule type="expression" dxfId="129" priority="128">
      <formula>AND($B$510="Enter the number of households that met the criteria for these additional reporting elements.",AS494=1)</formula>
    </cfRule>
  </conditionalFormatting>
  <conditionalFormatting sqref="AG479:AL479">
    <cfRule type="expression" dxfId="128" priority="125">
      <formula>$AN$480=1</formula>
    </cfRule>
  </conditionalFormatting>
  <conditionalFormatting sqref="AG481:AL481">
    <cfRule type="expression" dxfId="127" priority="124">
      <formula>$AN$481=1</formula>
    </cfRule>
  </conditionalFormatting>
  <conditionalFormatting sqref="AD504:AF509">
    <cfRule type="expression" dxfId="126" priority="120">
      <formula>AND($B$510="Error. If this type of request was not applicable, then this must be ""no"".",AY504=1)</formula>
    </cfRule>
    <cfRule type="expression" dxfId="125" priority="121">
      <formula>AND($B$510="Error. If requests were not applicable, then this must be ""no"".",AX504=1)</formula>
    </cfRule>
  </conditionalFormatting>
  <conditionalFormatting sqref="AD504:AF504 AD506:AF506">
    <cfRule type="expression" dxfId="124" priority="119">
      <formula>$B$510="Error. If requests were applicable, then either internal or external must be ""yes""."</formula>
    </cfRule>
  </conditionalFormatting>
  <conditionalFormatting sqref="AG482:AL482">
    <cfRule type="expression" dxfId="123" priority="92">
      <formula>$AN$482=1</formula>
    </cfRule>
  </conditionalFormatting>
  <conditionalFormatting sqref="O520:AL520 O523:AL523 O526:AL526 O529:AL529 O532:AL532">
    <cfRule type="expression" dxfId="122" priority="91">
      <formula>$BB$536=1</formula>
    </cfRule>
  </conditionalFormatting>
  <conditionalFormatting sqref="O520:AL520 O523:AL523 O526:AL526">
    <cfRule type="expression" dxfId="121" priority="26">
      <formula>$BB$539=1</formula>
    </cfRule>
    <cfRule type="expression" dxfId="120" priority="81">
      <formula>$A$538="Error. If you provided STSH services, then you must have expenditures under Leasing, Operating, and/or Hotel/Motel support."</formula>
    </cfRule>
  </conditionalFormatting>
  <conditionalFormatting sqref="O523:AL523 O529:AL529 O532:AL532">
    <cfRule type="expression" dxfId="119" priority="27">
      <formula>$BB$540=1</formula>
    </cfRule>
    <cfRule type="expression" dxfId="118" priority="80">
      <formula>$A$538="Error. If you provided TSH services, then you must have expenditures under Operating, Master-Leasing, and/or Project-Based Rental Assistance support."</formula>
    </cfRule>
  </conditionalFormatting>
  <conditionalFormatting sqref="O519:Q524 O527:Q534">
    <cfRule type="expression" dxfId="117" priority="78">
      <formula>AND($A$538="Error. If this was a hotel/motel facility, then other sources of support for this facility should be blank.",SUM($AM$525:$AM$526)&gt;0,AM519=1)</formula>
    </cfRule>
  </conditionalFormatting>
  <conditionalFormatting sqref="R519:T524 R527:T534">
    <cfRule type="expression" dxfId="116" priority="77">
      <formula>AND($A$538="Error. If this was a hotel/motel facility, then other sources of support for this facility should be blank.",SUM($AN$525:$AN$526)&gt;0,AN519=1)</formula>
    </cfRule>
  </conditionalFormatting>
  <conditionalFormatting sqref="U519:W524 U527:W534">
    <cfRule type="expression" dxfId="115" priority="76">
      <formula>AND($A$538="Error. If this was a hotel/motel facility, then other sources of support for this facility should be blank.",SUM($AO$525:$AO$526)&gt;0,AO519=1)</formula>
    </cfRule>
  </conditionalFormatting>
  <conditionalFormatting sqref="X519:Z524 X527:Z534">
    <cfRule type="expression" dxfId="114" priority="75">
      <formula>AND($A$538="Error. If this was a hotel/motel facility, then other sources of support for this facility should be blank.",SUM($AP$525:$AP$526)&gt;0,AP519=1)</formula>
    </cfRule>
  </conditionalFormatting>
  <conditionalFormatting sqref="AA519:AC524 AA527:AC534">
    <cfRule type="expression" dxfId="113" priority="74">
      <formula>AND($A$538="Error. If this was a hotel/motel facility, then other sources of support for this facility should be blank.",SUM($AQ$525:$AQ$526)&gt;0,AQ519=1)</formula>
    </cfRule>
  </conditionalFormatting>
  <conditionalFormatting sqref="AD519:AF524 AD527:AF534">
    <cfRule type="expression" dxfId="112" priority="73">
      <formula>AND($A$538="Error. If this was a hotel/motel facility, then other sources of support for this facility should be blank.",SUM($AR$525:$AR$526)&gt;0,AR519=1)</formula>
    </cfRule>
  </conditionalFormatting>
  <conditionalFormatting sqref="AG519:AI524 AG527:AI534">
    <cfRule type="expression" dxfId="111" priority="72">
      <formula>AND($A$538="Error. If this was a hotel/motel facility, then other sources of support for this facility should be blank.",SUM($AS$525:$AS$526)&gt;0,AS519=1)</formula>
    </cfRule>
  </conditionalFormatting>
  <conditionalFormatting sqref="AJ519:AL524 AJ527:AL534">
    <cfRule type="expression" dxfId="110" priority="71">
      <formula>AND($A$538="Error. If this was a hotel/motel facility, then other sources of support for this facility should be blank.",SUM($AT$525:$AT$526)&gt;0,AT519=1)</formula>
    </cfRule>
  </conditionalFormatting>
  <conditionalFormatting sqref="O517:AL517">
    <cfRule type="expression" dxfId="109" priority="50">
      <formula>AND($A$538="If this was a hotel/motel facility, the number of households served must equal the number of units placed into service this year.",O526&gt;0,O517&lt;&gt;O525)</formula>
    </cfRule>
    <cfRule type="expression" dxfId="108" priority="69">
      <formula>AND($A$538="Error. You have indicated that this facility was not placed into service this year, but you have entered the number of units placed into service. Please resolve this discrepancy.",O516="No",O517&gt;0)</formula>
    </cfRule>
  </conditionalFormatting>
  <conditionalFormatting sqref="O519:AL519">
    <cfRule type="expression" dxfId="107" priority="56">
      <formula>AND($A$538="Error. The number of households that received Leasing support is greater than the number of households that received STSH services.",O519&gt;$AN$542)</formula>
    </cfRule>
    <cfRule type="expression" dxfId="106" priority="61">
      <formula>AND($A$538="Error. You have entered households under Leasing support for this facility, but you have not entered any expenditures.",O519&gt;0,O520=0)</formula>
    </cfRule>
  </conditionalFormatting>
  <conditionalFormatting sqref="O522:AL522">
    <cfRule type="expression" dxfId="105" priority="55">
      <formula>AND($A$538="Error. The number of households that received Operating support is greater than the number of households that received FBHA services.",O522&gt;$AN$537)</formula>
    </cfRule>
    <cfRule type="expression" dxfId="104" priority="60">
      <formula>AND($A$538="Error. You have entered households under Operating support for this facility, but you have not entered any expenditures.",O522&gt;0,O523=0)</formula>
    </cfRule>
  </conditionalFormatting>
  <conditionalFormatting sqref="O525:AL525">
    <cfRule type="expression" dxfId="103" priority="54">
      <formula>AND($A$538="Error. The number of households that received Hotel/Motel support is greater than the number of households that received STSH services.",O525&gt;$AN$542)</formula>
    </cfRule>
    <cfRule type="expression" dxfId="102" priority="59">
      <formula>AND($A$538="Error. You have entered households under Hotel/Motel support for this facility, but you have not entered any expenditures.",O525&gt;0,O526=0)</formula>
    </cfRule>
  </conditionalFormatting>
  <conditionalFormatting sqref="O528:AL528">
    <cfRule type="expression" dxfId="101" priority="53">
      <formula>AND($A$538="Error. The number of households that received Master-Leasing support is greater than the number of households that received TSH services.",O528&gt;$AN$543)</formula>
    </cfRule>
    <cfRule type="expression" dxfId="100" priority="58">
      <formula>AND($A$538="Error. You have entered households under Master-Leasing support for this facility, but you have not entered any expenditures.",O528&gt;0,O529=0)</formula>
    </cfRule>
  </conditionalFormatting>
  <conditionalFormatting sqref="O531:AL531">
    <cfRule type="expression" dxfId="99" priority="52">
      <formula>AND($A$538="Error. The number of households that received Project-Based Rental Assistance support is greater than the number of households that received TSH services.",O531&gt;$AN$543)</formula>
    </cfRule>
    <cfRule type="expression" dxfId="98" priority="57">
      <formula>AND($A$538="Error. You have entered households under Project-Based Rental Assistance support for this facility, but you have not entered any expenditures.",O531&gt;0,O532=0)</formula>
    </cfRule>
  </conditionalFormatting>
  <conditionalFormatting sqref="O516:AL516">
    <cfRule type="expression" dxfId="97" priority="51">
      <formula>AND($A$538="If this was a hotel/motel facility, the facility must have been placed into service this year.",O526&gt;0,O516="No")</formula>
    </cfRule>
  </conditionalFormatting>
  <conditionalFormatting sqref="O534:AL534">
    <cfRule type="expression" dxfId="96" priority="48">
      <formula>AND($A$538="You've entered an adjustment for duplication, but your coversheet indicates none of your households received more than one type of FBHA support. Please resolve this discrepancy.",O534&gt;0)</formula>
    </cfRule>
    <cfRule type="expression" dxfId="95" priority="49">
      <formula>$A$538="You've not entered an adjustment for duplication, but your coversheet indicates some households received more than one type of FBHA support. Please resolve this discrepancy."</formula>
    </cfRule>
  </conditionalFormatting>
  <conditionalFormatting sqref="O534">
    <cfRule type="expression" dxfId="94" priority="47">
      <formula>AND($A$538="Row 15 cannot be less than the greater of Rows 4, 6, 8, 10, and 12. Reduce adjustment for duplication.",AR543=1)</formula>
    </cfRule>
  </conditionalFormatting>
  <conditionalFormatting sqref="R534">
    <cfRule type="expression" dxfId="93" priority="46">
      <formula>AND($A$538="Row 15 cannot be less than the greater of Rows 4, 6, 8, 10, and 12. Reduce adjustment for duplication.",AS543=1)</formula>
    </cfRule>
  </conditionalFormatting>
  <conditionalFormatting sqref="U534">
    <cfRule type="expression" dxfId="92" priority="45">
      <formula>AND($A$538="Row 15 cannot be less than the greater of Rows 4, 6, 8, 10, and 12. Reduce adjustment for duplication.",AT543=1)</formula>
    </cfRule>
  </conditionalFormatting>
  <conditionalFormatting sqref="X534">
    <cfRule type="expression" dxfId="91" priority="44">
      <formula>AND($A$538="Row 15 cannot be less than the greater of Rows 4, 6, 8, 10, and 12. Reduce adjustment for duplication.",AU543=1)</formula>
    </cfRule>
  </conditionalFormatting>
  <conditionalFormatting sqref="AA534">
    <cfRule type="expression" dxfId="90" priority="43">
      <formula>AND($A$538="Row 15 cannot be less than the greater of Rows 4, 6, 8, 10, and 12. Reduce adjustment for duplication.",AV543=1)</formula>
    </cfRule>
  </conditionalFormatting>
  <conditionalFormatting sqref="AD534">
    <cfRule type="expression" dxfId="89" priority="42">
      <formula>AND($A$538="Row 15 cannot be less than the greater of Rows 4, 6, 8, 10, and 12. Reduce adjustment for duplication.",AW543=1)</formula>
    </cfRule>
  </conditionalFormatting>
  <conditionalFormatting sqref="AG534">
    <cfRule type="expression" dxfId="88" priority="41">
      <formula>AND($A$538="Row 15 cannot be less than the greater of Rows 4, 6, 8, 10, and 12. Reduce adjustment for duplication.",AX543=1)</formula>
    </cfRule>
  </conditionalFormatting>
  <conditionalFormatting sqref="AJ534">
    <cfRule type="expression" dxfId="87" priority="40">
      <formula>AND($A$538="Row 15 cannot be less than the greater of Rows 4, 6, 8, 10, and 12. Reduce adjustment for duplication.",AY543=1)</formula>
    </cfRule>
  </conditionalFormatting>
  <conditionalFormatting sqref="O536">
    <cfRule type="expression" dxfId="86" priority="39">
      <formula>AND($A$538="Error. Total households for this facility cannot be greater than the number of households that received FBHA services.",AR545=1)</formula>
    </cfRule>
  </conditionalFormatting>
  <conditionalFormatting sqref="R536">
    <cfRule type="expression" dxfId="85" priority="38">
      <formula>AND($A$538="Error. Total households for this facility cannot be greater than the number of households that received FBHA services.",AS545=1)</formula>
    </cfRule>
  </conditionalFormatting>
  <conditionalFormatting sqref="U536">
    <cfRule type="expression" dxfId="84" priority="37">
      <formula>AND($A$538="Error. Total households for this facility cannot be greater than the number of households that received FBHA services.",AT545=1)</formula>
    </cfRule>
  </conditionalFormatting>
  <conditionalFormatting sqref="X536">
    <cfRule type="expression" dxfId="83" priority="36">
      <formula>AND($A$538="Error. Total households for this facility cannot be greater than the number of households that received FBHA services.",AU545=1)</formula>
    </cfRule>
  </conditionalFormatting>
  <conditionalFormatting sqref="AA536">
    <cfRule type="expression" dxfId="82" priority="35">
      <formula>AND($A$538="Error. Total households for this facility cannot be greater than the number of households that received FBHA services.",AV545=1)</formula>
    </cfRule>
  </conditionalFormatting>
  <conditionalFormatting sqref="AD536">
    <cfRule type="expression" dxfId="81" priority="34">
      <formula>AND($A$538="Error. Total households for this facility cannot be greater than the number of households that received FBHA services.",AW545=1)</formula>
    </cfRule>
  </conditionalFormatting>
  <conditionalFormatting sqref="AG536">
    <cfRule type="expression" dxfId="80" priority="33">
      <formula>AND($A$538="Error. Total households for this facility cannot be greater than the number of households that received FBHA services.",AX545=1)</formula>
    </cfRule>
  </conditionalFormatting>
  <conditionalFormatting sqref="AJ536">
    <cfRule type="expression" dxfId="79" priority="32">
      <formula>AND($A$538="Error. Total households for this facility cannot be greater than the number of households that received FBHA services.",AY545=1)</formula>
    </cfRule>
  </conditionalFormatting>
  <conditionalFormatting sqref="O519:AL519 O522:AL522 O525:AL525">
    <cfRule type="expression" dxfId="78" priority="31">
      <formula>$BB$537=1</formula>
    </cfRule>
  </conditionalFormatting>
  <conditionalFormatting sqref="O522:AL522 O528:AL528 O531:AL531">
    <cfRule type="expression" dxfId="77" priority="30">
      <formula>$BB$538=1</formula>
    </cfRule>
  </conditionalFormatting>
  <conditionalFormatting sqref="C538:D538">
    <cfRule type="cellIs" dxfId="76" priority="623" operator="equal">
      <formula>"Data validation is complete."</formula>
    </cfRule>
    <cfRule type="cellIs" dxfId="75" priority="624" operator="equal">
      <formula>CONCATENATE("The number of households that received TSH services is ",AP543,". For this to be true, you need more households under Operating, Master-Leasing, and/or Project-Based Rental Assistance.")</formula>
    </cfRule>
    <cfRule type="cellIs" dxfId="74" priority="625" operator="equal">
      <formula>CONCATENATE("The number of households that received STSH services is ",AP542,". For this to be true, you need more households under Leasing, Operating, and/or Hotel/Motel.")</formula>
    </cfRule>
    <cfRule type="cellIs" dxfId="73" priority="626" operator="equal">
      <formula>"Error. Total households for this facility cannot be greater than the number of households that received FBHA services."</formula>
    </cfRule>
    <cfRule type="cellIs" dxfId="72" priority="627" operator="equal">
      <formula>"Row 15 cannot be less than the greater of Rows 4, 6, 8, 10, and 12. Reduce adjustment for duplication."</formula>
    </cfRule>
    <cfRule type="cellIs" dxfId="71" priority="628" operator="equal">
      <formula>"You've entered an adjustment for duplication, but your coversheet indicates none of your households received more than one type of FBHA support. Please resolve this discrepancy."</formula>
    </cfRule>
    <cfRule type="cellIs" dxfId="70" priority="629" operator="equal">
      <formula>"You've not entered an adjustment for duplication, but your coversheet indicates some households received more than one type of FBHA support. Please resolve this discrepancy."</formula>
    </cfRule>
    <cfRule type="cellIs" dxfId="69" priority="630" operator="equal">
      <formula>"If this was a hotel/motel facility, the number of households served must equal the number of units placed into service this year."</formula>
    </cfRule>
    <cfRule type="cellIs" dxfId="68" priority="631" operator="equal">
      <formula>"If this was a hotel/motel facility, the facility must have been placed into service this year."</formula>
    </cfRule>
    <cfRule type="cellIs" dxfId="67" priority="632" operator="equal">
      <formula>"Complete the entry for facility information."</formula>
    </cfRule>
    <cfRule type="cellIs" dxfId="66" priority="633" operator="equal">
      <formula>"Error. The number of households that received Project-Based Rental Assistance support is greater than the number of households that received TSH services."</formula>
    </cfRule>
    <cfRule type="cellIs" dxfId="65" priority="634" operator="equal">
      <formula>"Error. The number of households that received Master-Leasing support is greater than the number of households that received TSH services."</formula>
    </cfRule>
    <cfRule type="cellIs" dxfId="64" priority="635" operator="equal">
      <formula>"Error. The number of households that received Hotel/Motel support is greater than the number of households that received STSH services."</formula>
    </cfRule>
    <cfRule type="cellIs" dxfId="63" priority="636" operator="equal">
      <formula>"Error. The number of households that received Operating support is greater than the number of households that received FBHA services."</formula>
    </cfRule>
    <cfRule type="cellIs" dxfId="62" priority="637" operator="equal">
      <formula>"Error. The number of households that received Leasing support is greater than the number of households that received STSH services."</formula>
    </cfRule>
    <cfRule type="cellIs" dxfId="61" priority="638" operator="equal">
      <formula>"Error. You have entered households under Project-Based Rental Assistance support for this facility, but you have not entered any expenditures."</formula>
    </cfRule>
    <cfRule type="cellIs" dxfId="60" priority="639" operator="equal">
      <formula>"Error. You have entered households under Master-Leasing support for this facility, but you have not entered any expenditures."</formula>
    </cfRule>
    <cfRule type="cellIs" dxfId="59" priority="640" operator="equal">
      <formula>"Error. You have entered households under Hotel/Motel support for this facility, but you have not entered any expenditures."</formula>
    </cfRule>
    <cfRule type="cellIs" dxfId="58" priority="641" operator="equal">
      <formula>"Error. You have entered households under Operating support for this facility, but you have not entered any expenditures."</formula>
    </cfRule>
    <cfRule type="cellIs" dxfId="57" priority="642" operator="equal">
      <formula>"Error. You have entered households under Leasing support for this facility, but you have not entered any expenditures."</formula>
    </cfRule>
    <cfRule type="cellIs" dxfId="56" priority="643" operator="equal">
      <formula>"Error. You have indicated that this facility was not placed into service this year, but you have entered the number of units placed into service. Please resolve this discrepancy."</formula>
    </cfRule>
    <cfRule type="cellIs" dxfId="55" priority="644" operator="equal">
      <formula>"Error. If this was a hotel/motel facility, then other sources of support for this facility should be blank."</formula>
    </cfRule>
    <cfRule type="cellIs" dxfId="54" priority="645" operator="equal">
      <formula>"Error. If you provided TSH services, then you must have expenditures under Operating, Master-Leasing, and/or Project-Based Rental Assistance support."</formula>
    </cfRule>
    <cfRule type="cellIs" dxfId="53" priority="646" operator="equal">
      <formula>"Error. If you provided STSH services, then you must have expenditures under Leasing, Operating, and/or Hotel/Motel support."</formula>
    </cfRule>
    <cfRule type="cellIs" dxfId="52" priority="647" operator="equal">
      <formula>CONCATENATE("Enter expenditure outputs for Facility-Based Housing Assistance. Total expenditures must equal $",TEXT(AQ537,"#,##0.00")," You've entered $",TEXT(#REF!,"#,##0.00"),".")</formula>
    </cfRule>
    <cfRule type="cellIs" dxfId="51" priority="648" operator="equal">
      <formula>"Error. You have entered Facility-Based Housing Assistance data, but your coversheet indicates that you did not undertake this activity. Please resolve this discrepancy."</formula>
    </cfRule>
    <cfRule type="cellIs" dxfId="50" priority="649" operator="equal">
      <formula>"Error. If this is a semi-annual report, this section should be blank."</formula>
    </cfRule>
  </conditionalFormatting>
  <conditionalFormatting sqref="A538:AL538">
    <cfRule type="cellIs" dxfId="49" priority="28" operator="equal">
      <formula>CONCATENATE("Error. You have not entered enough TSH expenditures under Operating, Master-Leasing, and/or Project-Based Rental Assistance. Must total $",TEXT(AO543,"#,##0.00")," at minimum.")</formula>
    </cfRule>
    <cfRule type="cellIs" dxfId="48" priority="29" operator="equal">
      <formula>CONCATENATE("Error. You have not entered enough STSH expenditures under Leasing, Operating, and/or Hotel/Motel. Must total $",TEXT(AO542,"#,##0.00")," at minimum.")</formula>
    </cfRule>
  </conditionalFormatting>
  <conditionalFormatting sqref="AJ181:AL181">
    <cfRule type="expression" dxfId="47" priority="653">
      <formula>$A$201="Row 6 cannot be less than the greater of Rows 1-4. Reduce adjustment for duplication."</formula>
    </cfRule>
    <cfRule type="expression" dxfId="46" priority="654">
      <formula>AND($A$201="Error. You have entered an adjustment for duplication, but your coversheet indicates that none of your households had this type of duplication. Please resolve this discrepancy.",AX176=1)</formula>
    </cfRule>
    <cfRule type="expression" dxfId="45" priority="655">
      <formula>$A$201="Enter an adjustment for duplication for households that received more than one type of housing assistance service."</formula>
    </cfRule>
  </conditionalFormatting>
  <conditionalFormatting sqref="AJ187:AL187">
    <cfRule type="expression" dxfId="44" priority="660">
      <formula>$A$201="Row 10 cannot be greater than Row 5."</formula>
    </cfRule>
    <cfRule type="expression" dxfId="43" priority="661">
      <formula>$A$201="Row 11 cannot be less than the greater of Rows 7-9. Reduce adjustment for duplication."</formula>
    </cfRule>
    <cfRule type="expression" dxfId="42" priority="662">
      <formula>AND($A$201="Error. You have entered an adjustment for duplication, but your coversheet indicates that none of your households had this type of duplication. Please resolve this discrepancy.",AX177=1)</formula>
    </cfRule>
    <cfRule type="expression" dxfId="41" priority="663">
      <formula>$A$201="Enter an adjustment for duplication for households that received some combination of TBRA, FBHA, and/or PHP services only."</formula>
    </cfRule>
  </conditionalFormatting>
  <conditionalFormatting sqref="AJ196:AL196">
    <cfRule type="expression" dxfId="40" priority="668">
      <formula>$A$201="Row 18 cannot be less than Row 5."</formula>
    </cfRule>
    <cfRule type="expression" dxfId="39" priority="669">
      <formula>$A$201="Row 19 cannot be less than the greater of Rows 12-17. Reduce adjustment for duplication."</formula>
    </cfRule>
    <cfRule type="expression" dxfId="38" priority="670">
      <formula>AND($A$201="Error. You have entered an adjustment for duplication, but your coversheet indicates that none of your households had this type of duplication. Please resolve this discrepancy.",AX178=1)</formula>
    </cfRule>
    <cfRule type="expression" dxfId="37" priority="671">
      <formula>$A$201="Enter an adjustment for duplication for households that received more than one type of any HOPWA service."</formula>
    </cfRule>
  </conditionalFormatting>
  <conditionalFormatting sqref="U158:W170">
    <cfRule type="expression" dxfId="36" priority="23">
      <formula>AND($A$201="Enter all applicable P2 household outputs and all respective adjustments for duplication between P1 and P2.",AY175=1)</formula>
    </cfRule>
  </conditionalFormatting>
  <conditionalFormatting sqref="X158:Z170">
    <cfRule type="expression" dxfId="35" priority="22">
      <formula>AND($A$201="Enter all applicable P2 household outputs and all respective adjustments for duplication between P1 and P2.",AY175=1)</formula>
    </cfRule>
  </conditionalFormatting>
  <conditionalFormatting sqref="A121:AL121">
    <cfRule type="cellIs" dxfId="34" priority="20" operator="equal">
      <formula>"Complete each narrative."</formula>
    </cfRule>
  </conditionalFormatting>
  <conditionalFormatting sqref="AG196:AL196">
    <cfRule type="expression" dxfId="33" priority="17">
      <formula>$A$201="Error. Row 19 cannot be less than the greater of Rows 6 and 11. Reduce adjustment for duplication."</formula>
    </cfRule>
  </conditionalFormatting>
  <conditionalFormatting sqref="T199">
    <cfRule type="expression" dxfId="32" priority="12">
      <formula>$A$201="Error. You may only select one."</formula>
    </cfRule>
    <cfRule type="expression" dxfId="31" priority="14">
      <formula>$A$201="Confirm that the P2 adjustments for duplication on Rows 5, 10, and 18 are correct."</formula>
    </cfRule>
  </conditionalFormatting>
  <conditionalFormatting sqref="S28:S31">
    <cfRule type="expression" dxfId="30" priority="10">
      <formula>$A$41="Select the activities your agency performed during this program year (i.e., activities for which your agency had household and/or expenditure outputs). Please check all that apply."</formula>
    </cfRule>
  </conditionalFormatting>
  <conditionalFormatting sqref="AG366:AL377">
    <cfRule type="expression" dxfId="29" priority="767">
      <formula>$AN$394=1</formula>
    </cfRule>
    <cfRule type="expression" dxfId="28" priority="768">
      <formula>$AN$393=1</formula>
    </cfRule>
    <cfRule type="expression" dxfId="27" priority="769">
      <formula>AND($AN$391=1,AZ366=1)</formula>
    </cfRule>
  </conditionalFormatting>
  <conditionalFormatting sqref="AG378:AL378">
    <cfRule type="expression" dxfId="26" priority="770">
      <formula>$AN$392=1</formula>
    </cfRule>
  </conditionalFormatting>
  <conditionalFormatting sqref="AG387:AL401">
    <cfRule type="expression" dxfId="25" priority="771">
      <formula>$AN$395=1</formula>
    </cfRule>
  </conditionalFormatting>
  <conditionalFormatting sqref="B402">
    <cfRule type="cellIs" dxfId="24" priority="7" operator="equal">
      <formula>"Looking good! Proceed to Part 5: FBHA Outcomes."</formula>
    </cfRule>
    <cfRule type="cellIs" dxfId="23" priority="244" operator="equal">
      <formula>CONCATENATE("Enter the number of households by household status. Total must equal ",AN357,". You've entered ",AQ387,".")</formula>
    </cfRule>
    <cfRule type="cellIs" dxfId="22" priority="245" operator="equal">
      <formula>"Enter the number of households that accessed and/or maintained these sources of medical insurance and/or assistance."</formula>
    </cfRule>
    <cfRule type="cellIs" dxfId="21" priority="246" operator="equal">
      <formula>"Select whether each source of medical insurance and/or assistance is applicable."</formula>
    </cfRule>
    <cfRule type="cellIs" dxfId="20" priority="247" operator="equal">
      <formula>CONCATENATE("Error. The total number of households for these income categories cannot be less than ",AN366," at minimum.")</formula>
    </cfRule>
    <cfRule type="cellIs" dxfId="19" priority="248" operator="equal">
      <formula>CONCATENATE("Error. If ",AG378," out of ",AN357," households had no income, then the total number of households for all other income categories cannot be less than ",AN366," at minimum.")</formula>
    </cfRule>
    <cfRule type="cellIs" dxfId="18" priority="249" operator="equal">
      <formula>"Enter the number of households that accessed and/or maintained these sources of income."</formula>
    </cfRule>
    <cfRule type="cellIs" dxfId="17" priority="250" operator="equal">
      <formula>CONCATENATE("If no households accessed and/or maintained any sources of income, then the total number of households that had no income should equal ",AN357,".")</formula>
    </cfRule>
    <cfRule type="cellIs" dxfId="16" priority="251" operator="equal">
      <formula>"If no households accessed and/or maintained any sources of income, please select ""yes""."</formula>
    </cfRule>
    <cfRule type="cellIs" dxfId="15" priority="252" operator="equal">
      <formula>CONCATENATE("Error. If ",AG378," out of ",AN357," households had no income, then the number of households for each other income category cannot exceed ",AN366,".")</formula>
    </cfRule>
    <cfRule type="cellIs" dxfId="14" priority="253" operator="equal">
      <formula>"Select whether each source of income is applicable."</formula>
    </cfRule>
    <cfRule type="cellIs" dxfId="13" priority="254" operator="equal">
      <formula>CONCATENATE("Error. The total number of households for all longevity categories cannot be less than ",AN357,". You've entered ",AQ361,".")</formula>
    </cfRule>
    <cfRule type="cellIs" dxfId="12" priority="255" operator="equal">
      <formula>CONCATENATE("Error. If ",AG361," out of ",AN357," households received STRMU for the first time this year, then the number of households for each other longevity category cannot exceed ",AN361,".")</formula>
    </cfRule>
    <cfRule type="cellIs" dxfId="11" priority="256" operator="equal">
      <formula>"Enter the number of households by longevity."</formula>
    </cfRule>
    <cfRule type="cellIs" dxfId="10" priority="257" operator="equal">
      <formula>"Select whether each longevity is applicable."</formula>
    </cfRule>
    <cfRule type="cellIs" dxfId="9" priority="258" operator="equal">
      <formula>CONCATENATE("Enter the number of households by income level. Total must equal ",AN357,". You've entered ",AQ357,".")</formula>
    </cfRule>
    <cfRule type="cellIs" dxfId="8" priority="259" operator="equal">
      <formula>CONCATENATE("Error. Number of households cannot exceed ",AN357,".")</formula>
    </cfRule>
    <cfRule type="cellIs" dxfId="7" priority="260" operator="equal">
      <formula>"Error. You've indicated this is not applicable, but you've entered outcome data. Please resolve this discrepancy."</formula>
    </cfRule>
    <cfRule type="cellIs" dxfId="6" priority="299" operator="equal">
      <formula>"You've entered outcome data, but your coversheet indicates that you did not undertake this activity. Please resolve this discrepancy."</formula>
    </cfRule>
    <cfRule type="cellIs" dxfId="5" priority="337" operator="equal">
      <formula>"Error. If this is a semi-annual report, this section should be blank."</formula>
    </cfRule>
  </conditionalFormatting>
  <conditionalFormatting sqref="AG341:AL354">
    <cfRule type="expression" dxfId="4" priority="778">
      <formula>$AN$349=1</formula>
    </cfRule>
  </conditionalFormatting>
  <conditionalFormatting sqref="A302">
    <cfRule type="expression" dxfId="3" priority="4">
      <formula>AND($AP$302=FALSE,$A$305="Confirm sources of leveraging, program income collected, program income expended, and household rent payments are correct. Update your coversheet if necessary.")</formula>
    </cfRule>
  </conditionalFormatting>
  <conditionalFormatting sqref="A303">
    <cfRule type="expression" dxfId="2" priority="3">
      <formula>AND($AP$303=FALSE,$A$305="Confirm sources of leveraging, program income collected, program income expended, and household rent payments are correct. Update your coversheet if necessary.")</formula>
    </cfRule>
  </conditionalFormatting>
  <conditionalFormatting sqref="T302">
    <cfRule type="expression" dxfId="1" priority="2">
      <formula>AND($AQ$302=FALSE,$A$305="Confirm sources of leveraging, program income collected, program income expended, and household rent payments are correct. Update your coversheet if necessary.")</formula>
    </cfRule>
  </conditionalFormatting>
  <conditionalFormatting sqref="T303">
    <cfRule type="expression" dxfId="0" priority="1">
      <formula>AND($AQ$303=FALSE,$A$305="Confirm sources of leveraging, program income collected, program income expended, and household rent payments are correct. Update your coversheet if necessary.")</formula>
    </cfRule>
  </conditionalFormatting>
  <dataValidations count="74">
    <dataValidation type="list" allowBlank="1" showInputMessage="1" showErrorMessage="1" errorTitle="Error." error="Please select from the list." sqref="T15:AL15" xr:uid="{455CCF74-D9B0-447F-B201-B99ACE9C5F5C}">
      <formula1>$AM$15:$AM$40</formula1>
    </dataValidation>
    <dataValidation type="list" allowBlank="1" showInputMessage="1" showErrorMessage="1" errorTitle="Error." error="Please select from the list." sqref="T16:AL16" xr:uid="{E078ECE0-5877-49CC-8ACE-55B6D10B0F38}">
      <formula1>$AN$14:$AN$20</formula1>
    </dataValidation>
    <dataValidation type="list" allowBlank="1" showInputMessage="1" showErrorMessage="1" errorTitle="Error." error="Please select from the list." sqref="AJ33:AL35 AJ38:AL38" xr:uid="{1D7E078C-E492-4502-9D03-0DF70E140B9A}">
      <formula1>$AO$14:$AO$16</formula1>
    </dataValidation>
    <dataValidation type="date" allowBlank="1" showInputMessage="1" showErrorMessage="1" errorTitle="Error." error="Please enter a valid date." sqref="T21:AL21" xr:uid="{03B7D4A2-A10E-4ED6-867D-4560C255AEBC}">
      <formula1>1</formula1>
      <formula2>2958465</formula2>
    </dataValidation>
    <dataValidation type="list" allowBlank="1" showInputMessage="1" showErrorMessage="1" errorTitle="Error." error="Please select from the list." sqref="C128:K135" xr:uid="{9AD341C3-4ADA-4EB0-9EC5-1D50D815279E}">
      <formula1>$AN$123:$AN$138</formula1>
    </dataValidation>
    <dataValidation type="decimal" operator="greaterThanOrEqual" allowBlank="1" showInputMessage="1" showErrorMessage="1" sqref="AD158:AL172 AA276:AF289 O532:AL532 O529:AL529 O526:AL526 O520:AL520 O523:AL523" xr:uid="{970F1DEE-E69B-4A29-90EE-2B2D1953A792}">
      <formula1>0</formula1>
    </dataValidation>
    <dataValidation type="list" allowBlank="1" showInputMessage="1" showErrorMessage="1" errorTitle="Error." error="Please select from the list." sqref="AD465:AF467 AD338:AF338 AD334:AF336 AD451:AF454 AD414:AF417 AD366:AF369 AD320:AF323 AD384:AF384 AD419:AF426 AD380:AF382 AD371:AF378 AD432:AF432 AD325:AF332 AD469:AF469 AD428:AF430 AD456:AF463 AD494:AF498 AD500:AF509" xr:uid="{51900EAA-3A4B-4F53-8440-C951EF6FE738}">
      <formula1>$AM$311:$AM$313</formula1>
    </dataValidation>
    <dataValidation type="list" allowBlank="1" showInputMessage="1" showErrorMessage="1" errorTitle="Error." error="Please select from the list." sqref="AG276:AL289" xr:uid="{9EA37C4B-C13A-462B-8912-02E8AF45449D}">
      <formula1>$AM$279:$AM$281</formula1>
    </dataValidation>
    <dataValidation type="list" allowBlank="1" showInputMessage="1" showErrorMessage="1" errorTitle="Error." error="Please select from the list." sqref="AD206:AF207 AD267:AF268" xr:uid="{75D17686-2727-48C2-9A5D-237BB42888CF}">
      <formula1>$AM$210:$AM$212</formula1>
    </dataValidation>
    <dataValidation type="list" allowBlank="1" showInputMessage="1" showErrorMessage="1" errorTitle="Error." error="Please select from the list." sqref="O515:AL516" xr:uid="{0EF7E0DE-CF67-45A6-823B-18DCB00A11BA}">
      <formula1>$AM$555:$AM$557</formula1>
    </dataValidation>
    <dataValidation type="whole" operator="greaterThanOrEqual" allowBlank="1" showInputMessage="1" showErrorMessage="1" sqref="AG148:AL150 O525:AL525 O534:AL534 O531:AL531 O528:AL528 AG206:AL207 M215:AL224 M229:AL238 AG244:AL244 AG246:AL248 AG250:AL261 AG267:AL268 AG307:AL309 AG311:AL312 X164:Z164 AG320:AL332 AG334:AL339 AA158:AC170 AG357:AL359 AG361:AL364 AG366:AL378 AG380:AL385 R158:W170 AG404:AL406 X159:Z159 AG414:AL426 AG428:AL433 O522:AL522 AG451:AL463 AG465:AL470 O519:AL519 AG477:AL482 O517:AL517 AG494:AL509" xr:uid="{4BF08580-48C8-4B60-8EBB-6CD89ABD5D09}">
      <formula1>0</formula1>
    </dataValidation>
    <dataValidation type="list" allowBlank="1" showInputMessage="1" showErrorMessage="1" errorTitle="Error." error="Please select from the list." promptTitle="Duplication" prompt="Did any households receive more than one type of housing assistance service? Housing assistance service categories include TBRA, STRMU, FBHA, and PHP. For example, STRMU, then PHP, then TBRA. Or STRMU, then FBHA, then PHP. Or any other combination." sqref="AJ28:AL28" xr:uid="{18D0DC58-F1B2-4405-BC90-61A105AD73D7}">
      <formula1>$AO$14:$AO$16</formula1>
    </dataValidation>
    <dataValidation type="list" allowBlank="1" showInputMessage="1" showErrorMessage="1" errorTitle="Error." error="Please select from the list." promptTitle="Duplication" prompt="Did any households receive some combination of TBRA, FBHA, and/or PHP services? For example, PHP, then TBRA. Or FBHA STSH, then PHP, then TBRA. Or any other combination." sqref="AJ29:AL29" xr:uid="{8A4CDE54-F759-433F-90C1-59F2B0E5B68A}">
      <formula1>$AO$14:$AO$16</formula1>
    </dataValidation>
    <dataValidation type="list" allowBlank="1" showInputMessage="1" showErrorMessage="1" errorTitle="Error." error="Please select from the list." promptTitle="Duplication" prompt="Did any households receive more than one type of any HOPWA service? HOPWA service categories include TBRA, STRMU, FBHA, PHP, HCM, and HIS. For example, TBRA and HCM. Or HIS and STRMU, then TBRA. Or any other combination." sqref="AJ30:AL30" xr:uid="{3CFA10D5-1BFD-466C-AC2B-A68401042969}">
      <formula1>$AO$14:$AO$16</formula1>
    </dataValidation>
    <dataValidation type="list" allowBlank="1" showInputMessage="1" showErrorMessage="1" errorTitle="Error." error="Please select from the list." promptTitle="Duplication" prompt="Did any households within a single facility receive more than one type of FBHA (STSH and/or TSH) support? STSH supports include Leasing, Operating, and/or Hotel/Motel. TSH supports include Operating, Master-Leasing, and/or Project-Based Rental Assistance." sqref="AJ31:AL31" xr:uid="{FB118708-E269-484D-A581-17FC1E40872F}">
      <formula1>$AO$14:$AO$16</formula1>
    </dataValidation>
    <dataValidation type="whole" operator="greaterThanOrEqual" allowBlank="1" showInputMessage="1" showErrorMessage="1" promptTitle="Deduplication" prompt="Enter an adjustment for households that received more than one type of housing assistance service. Ultimately, Row 6 must equal the unduplicated number of households that received housing assistance services. See page 2 for adjustment instructions." sqref="AG181:AL181" xr:uid="{2D577D12-B200-4D52-BB73-056FC47E4F55}">
      <formula1>0</formula1>
    </dataValidation>
    <dataValidation type="whole" operator="greaterThanOrEqual" allowBlank="1" showInputMessage="1" showErrorMessage="1" promptTitle="Deduplication" prompt="Enter an adjustment for households that received some combination of TBRA, FBHA, and/or PHP services. Ultimately, Row 11 must equal the unduplicated number of households that received these services. See page 2 for adjustment instructions." sqref="AG187:AL187" xr:uid="{1A887C93-D1B8-4DBB-A5C0-F43B913E1115}">
      <formula1>0</formula1>
    </dataValidation>
    <dataValidation type="whole" operator="greaterThanOrEqual" allowBlank="1" showInputMessage="1" showErrorMessage="1" promptTitle="Deduplication" prompt="Enter an adjustment for households that received more than one type of any HOPWA service. Ultimately, Row 19 must equal the unduplicated number of households that received any HOPWA service. See page 2 for adjustment instructions." sqref="AG196:AL196" xr:uid="{9A9AFCDE-2D6E-49FF-9649-4A84C11296EF}">
      <formula1>0</formula1>
    </dataValidation>
    <dataValidation type="whole" operator="greaterThanOrEqual" allowBlank="1" showInputMessage="1" showErrorMessage="1" promptTitle="Deduplication" prompt="Enter an adjustment for households that received TBRA in both P1 and P2. Ultimately, the green cell must equal the unduplicated number of households that received TBRA services. See page 2 for adjustment instructions." sqref="X158:Z158" xr:uid="{15E14C96-2A69-4C9C-A893-023C3E20D15B}">
      <formula1>0</formula1>
    </dataValidation>
    <dataValidation type="whole" operator="greaterThanOrEqual" allowBlank="1" showInputMessage="1" showErrorMessage="1" promptTitle="Deduplication" prompt="Enter an adjustment for households that received STRMU rent only in both P1 and P2. Ultimately, the purple cell must equal the unduplicated number of households that received STRMU services. See page 2 for adjustment instructions." sqref="X160:Z160" xr:uid="{C5EE4858-D5FA-4484-B453-4FCBD7AA78B0}">
      <formula1>0</formula1>
    </dataValidation>
    <dataValidation type="whole" operator="greaterThanOrEqual" allowBlank="1" showInputMessage="1" showErrorMessage="1" promptTitle="Deduplication" prompt="Enter an adjustment for households that received STRMU mortgage only in both P1 and P2. Ultimately, the purple cell must equal the unduplicated number of households that received STRMU services. See page 2 for adjustment instructions." sqref="X161:Z161" xr:uid="{4A782D90-7FD9-4F7F-832A-DB28889FC2AD}">
      <formula1>0</formula1>
    </dataValidation>
    <dataValidation type="whole" operator="greaterThanOrEqual" allowBlank="1" showInputMessage="1" showErrorMessage="1" promptTitle="Deduplication" prompt="Enter an adjustment for households that received STRMU utility only in both P1 and P2. Ultimately, the purple cell must equal the unduplicated number of households that received STRMU services. See page 2 for adjustment instructions." sqref="X162:Z162" xr:uid="{97ADE017-AB1A-4E82-B54F-55B90B7310AC}">
      <formula1>0</formula1>
    </dataValidation>
    <dataValidation type="whole" operator="greaterThanOrEqual" allowBlank="1" showInputMessage="1" showErrorMessage="1" promptTitle="Deduplication" prompt="Enter an adjustment for households that received STRMU more than one type in both P1 and P2. Ultimately, the purple cell must equal the unduplicated number of households that received STRMU services. See page 2 for adjustment instructions." sqref="X163:Z163" xr:uid="{C0DC4267-F2E0-4DBF-AA84-A4A97B700548}">
      <formula1>0</formula1>
    </dataValidation>
    <dataValidation type="whole" operator="greaterThanOrEqual" allowBlank="1" showInputMessage="1" showErrorMessage="1" promptTitle="Deduplication" prompt="Enter an adjustment for households that received FBHA STSH only in both P1 and P2. Ultimately, the yellow cell must equal the unduplicated number of households that received FBHA services. See page 2 for adjustment instructions." sqref="X165:Z165" xr:uid="{6D193A44-B68A-4177-B480-7F584005776A}">
      <formula1>0</formula1>
    </dataValidation>
    <dataValidation type="whole" operator="greaterThanOrEqual" allowBlank="1" showInputMessage="1" showErrorMessage="1" promptTitle="Deduplication" prompt="Enter an adjustment for households that received FBHA TSH only in both P1 and P2. Ultimately, the yellow cell must equal the unduplicated number of households that received FBHA services. See page 2 for adjustment instructions." sqref="X166:Z166" xr:uid="{62A31BCE-844F-496A-8E56-A55E5029A780}">
      <formula1>0</formula1>
    </dataValidation>
    <dataValidation type="whole" operator="greaterThanOrEqual" allowBlank="1" showInputMessage="1" showErrorMessage="1" promptTitle="Deduplication" prompt="Enter an adjustment for households that received FBHA more than one type in both P1 and P2. Ultimately, the yellow cell must equal the unduplicated number of households that received FBHA services. See page 2 for adjustment instructions." sqref="X167:Z167" xr:uid="{82F8A39F-D19D-4366-8D72-D6F69A119CD3}">
      <formula1>0</formula1>
    </dataValidation>
    <dataValidation type="whole" operator="greaterThanOrEqual" allowBlank="1" showInputMessage="1" showErrorMessage="1" promptTitle="Deduplication" prompt="Enter an adjustment for households that received PHP in both P1 and P2. Ultimately, the light blue cell must equal the unduplicated number of households that received PHP services. See page 2 for adjustment instructions." sqref="X168:Z168" xr:uid="{6D83424A-807A-48FE-B5CF-08457659F2F1}">
      <formula1>0</formula1>
    </dataValidation>
    <dataValidation type="whole" operator="greaterThanOrEqual" allowBlank="1" showInputMessage="1" showErrorMessage="1" promptTitle="Deduplication" prompt="Enter an adjustment for households that received HCM in both P1 and P2. Ultimately, the orange cell must equal the unduplicated number of households that received HCM services. See page 2 for adjustment instructions." sqref="X169:Z169" xr:uid="{85623C3C-602C-44DD-B9AD-3B958D9EF6A1}">
      <formula1>0</formula1>
    </dataValidation>
    <dataValidation type="whole" operator="greaterThanOrEqual" allowBlank="1" showInputMessage="1" showErrorMessage="1" promptTitle="Deduplication" prompt="Enter an adjustment for households that received HIS in both P1 and P2. Ultimately, the light green cell must equal the unduplicated number of households that received HIS services. See page 2 for adjustment instructions." sqref="X170:Z170" xr:uid="{4257314E-A858-4F2C-A532-D3E67F01BC52}">
      <formula1>0</formula1>
    </dataValidation>
    <dataValidation type="list" allowBlank="1" showInputMessage="1" showErrorMessage="1" errorTitle="Error." error="Please select from the list." promptTitle="Leveraging" prompt="Includes non-HOPWA federal, state, local, and private funds or in-kind resources utilized in direct or indirect support of HOPWA program delivery and/or assisted households (e.g., Ryan White, Continuum of Care, donor funds, etc.). " sqref="AJ36:AL36" xr:uid="{6CCBD868-E570-437D-9D71-C2DEBA974A26}">
      <formula1>$AO$14:$AO$16</formula1>
    </dataValidation>
    <dataValidation type="list" allowBlank="1" showInputMessage="1" showErrorMessage="1" errorTitle="Error." error="Please select from the list." promptTitle="HOPWA Program Income" prompt="Gross income directly generated from the use of HOPWA funds (e.g., client rent payments to the Project Sponsor, security deposit refunds, etc.). See grant administration requirements on program income at 2 CFR 200.307. All program income MUST be reported." sqref="AJ37:AL37" xr:uid="{BDEFEB9E-154E-46A9-ADB3-32BC1055E298}">
      <formula1>$AO$14:$AO$16</formula1>
    </dataValidation>
    <dataValidation type="list" allowBlank="1" showInputMessage="1" showErrorMessage="1" errorTitle="Error." error="Please select from the list." promptTitle="Household Rent Payments" prompt="Cumulative household rent payments made directly to private landlords during this reporting period (e.g., a TBRA-assisted household's calculated share of rent, a STRMU-assisted household's negotiated share of rent; etc.)." sqref="AJ39:AL39" xr:uid="{149E3B69-DE30-47AE-B4C3-80A62FD13B7A}">
      <formula1>$AO$14:$AO$16</formula1>
    </dataValidation>
    <dataValidation type="list" allowBlank="1" showInputMessage="1" showErrorMessage="1" errorTitle="Error." error="Please select from the list." promptTitle="Income Clarification" prompt="For income eligibility determination, the program includes TANF, but excludes SNAP and WIC. Regardless, if any households received any of these types of welfare assistance, please select &quot;yes.&quot;" sqref="AD455:AF455 AD324:AF324 AD370:AF370 AD418:AF418" xr:uid="{4143B4DA-FA27-48AE-B443-2A9ACB137DEB}">
      <formula1>$AM$311:$AM$313</formula1>
    </dataValidation>
    <dataValidation type="list" allowBlank="1" showInputMessage="1" showErrorMessage="1" errorTitle="Error." error="Please select from the list." promptTitle="Medical Insurance Clarification" prompt="THMP is the State of Texas AIDS Drug Assistance Program (ADAP) and includes the HIV State Pharmaceutical Assistance Program (SPAP)." sqref="AD337:AF337 AD468:AF468 AD431:AF431 AD383:AF383" xr:uid="{21D769C2-BD29-45DC-ACA2-5B9DD4539B94}">
      <formula1>$AM$311:$AM$313</formula1>
    </dataValidation>
    <dataValidation type="list" allowBlank="1" showInputMessage="1" showErrorMessage="1" errorTitle="Error." error="Please select from the list." promptTitle="Medical Insurance Clarification" prompt="Ryan White-funded medical and/or dental assistance includes all State of Texas Ryan White Part B Core Medical Services categories (e.g., outpatient ambulatory health services, oral health services, health insurance premium &amp; cost sharing assistance, etc.)" sqref="AD339:AF339 AD470:AF470 AD433:AF433 AD385:AF385" xr:uid="{49A96BB0-53F2-4A3F-8A8B-27C39235BF3C}">
      <formula1>$AM$311:$AM$313</formula1>
    </dataValidation>
    <dataValidation type="list" allowBlank="1" showInputMessage="1" showErrorMessage="1" errorTitle="Error." error="Please select from the list." promptTitle="Access to Care" prompt="Had contact with a case manager (this may include a HOPWA-funded housing case manager and/or any other type of case manager)." sqref="AD477:AF477" xr:uid="{6EDF3162-16B4-4D37-BF71-7A3F4D2856DB}">
      <formula1>$AM$311:$AM$313</formula1>
    </dataValidation>
    <dataValidation type="list" allowBlank="1" showInputMessage="1" showErrorMessage="1" errorTitle="Error." error="Please select from the list." promptTitle="Access to Care" prompt="Had a housing plan (Form N) for maintaining or establishing stable housing." sqref="AD478:AF478" xr:uid="{EE72DF3D-B2E2-4B34-B6DB-0F2FA3E6E477}">
      <formula1>$AM$311:$AM$313</formula1>
    </dataValidation>
    <dataValidation type="list" allowBlank="1" showInputMessage="1" showErrorMessage="1" errorTitle="Error." error="Please select from the list." promptTitle="Access to Care" prompt="Accessed new and/or maintained current medical insurance and/or assistance (e.g., private, Medicaid, Medicare, Veterans Affairs Medical Services, Texas HIV Medication Program, Children's Health Insurance Program, Ryan White Medical and/or Dental, other)." sqref="AD479:AF479" xr:uid="{D8E3C160-2A29-4FC4-B981-16D53A44E38B}">
      <formula1>$AM$311:$AM$313</formula1>
    </dataValidation>
    <dataValidation type="list" allowBlank="1" showInputMessage="1" showErrorMessage="1" errorTitle="Error." error="Please select from the list." promptTitle="Access to Care" prompt="Had contact with a primary health care provider." sqref="AD480:AF480" xr:uid="{23FD213A-F9BA-4105-910A-9830A941695F}">
      <formula1>$AM$311:$AM$313</formula1>
    </dataValidation>
    <dataValidation type="list" allowBlank="1" showInputMessage="1" showErrorMessage="1" errorTitle="Error." error="Please select from the list." promptTitle="Access to Care" prompt="Accessed new and/or maintained current sources of income (please see Form C for the definition of income)." sqref="AD481:AF481" xr:uid="{6F78BFF1-4FC1-40A7-912B-4419FC7FE2A1}">
      <formula1>$AM$311:$AM$313</formula1>
    </dataValidation>
    <dataValidation type="list" allowBlank="1" showInputMessage="1" showErrorMessage="1" errorTitle="Error." error="Please select from the list." promptTitle="Access to Care" prompt="Obtained and/or maintained an income-producing job (with or without HOPWA-related employment assistance)." sqref="AD482:AF482" xr:uid="{0477A142-7B66-4765-A9E6-F8C013DB2BF2}">
      <formula1>$AM$311:$AM$313</formula1>
    </dataValidation>
    <dataValidation type="list" allowBlank="1" showInputMessage="1" showErrorMessage="1" errorTitle="Error." error="Please select from the list." promptTitle="Ever Prescribed Antiretrovirals?" prompt="Have any eligible individuals ever had an antiretroviral therapy (ART) prescription? This includes eligible individuals who had a prescription in the past, but 1) do not currently have a prescription or 2) do not currently adhere to their ART." sqref="AD311:AF311" xr:uid="{B10FE626-BAC2-4C5D-9304-EF00904CE6A4}">
      <formula1>$AM$311:$AM$313</formula1>
    </dataValidation>
    <dataValidation type="list" allowBlank="1" showInputMessage="1" showErrorMessage="1" errorTitle="Error." error="Please select from the list." promptTitle="Improved/Suppressed Viral Load?" prompt="Have any eligible individuals shown an improved viral load or achieved viral suppression during this reporting period? This includes eligible individuals who had already achieved viral suppression at the beginning of this reporting period." sqref="AD312:AF312" xr:uid="{22FDF806-3D4A-4DCA-AC9A-F08DAFFCC8AE}">
      <formula1>$AM$311:$AM$313</formula1>
    </dataValidation>
    <dataValidation type="whole" operator="greaterThanOrEqual" allowBlank="1" showInputMessage="1" showErrorMessage="1" promptTitle="Less than 1" prompt="Less than 1 year (annual eligibility period)" sqref="AG314:AL314 AG408:AL408" xr:uid="{61357A6B-5D48-4BCB-A248-0DBEEC535404}">
      <formula1>0</formula1>
    </dataValidation>
    <dataValidation type="whole" operator="greaterThanOrEqual" allowBlank="1" showInputMessage="1" showErrorMessage="1" promptTitle="More than 1, less than 5" prompt="More than 1, but less than 5 consecutive years (annual eligibility periods)" sqref="AG315:AL315 AG409:AL409" xr:uid="{018A95F0-8FC8-4F83-8045-6B8D7F34F167}">
      <formula1>0</formula1>
    </dataValidation>
    <dataValidation type="whole" operator="greaterThanOrEqual" allowBlank="1" showInputMessage="1" showErrorMessage="1" promptTitle="More than 5, less than 10" prompt="More than 5, but less than 10 consecutive years (annual eligibility periods)" sqref="AG316:AL316 AG410:AL410" xr:uid="{F06ECC1B-1910-4527-A2DC-23155F55ED35}">
      <formula1>0</formula1>
    </dataValidation>
    <dataValidation type="whole" operator="greaterThanOrEqual" allowBlank="1" showInputMessage="1" showErrorMessage="1" promptTitle="More than 10, less than 15" prompt="More than 10, but less than 15 consecutive years (annual eligibility periods)" sqref="AG317:AL317 AG411:AL411" xr:uid="{0E71F1B7-0517-493F-8FA3-F9E0301A298F}">
      <formula1>0</formula1>
    </dataValidation>
    <dataValidation type="whole" operator="greaterThanOrEqual" allowBlank="1" showInputMessage="1" showErrorMessage="1" promptTitle="More than 15" prompt="More than 15 consecutive years (annual eligibility periods)" sqref="AG318:AL318 AG412:AL412" xr:uid="{E82E4DF9-AE11-4A4B-AE11-B91EDCBCD1D1}">
      <formula1>0</formula1>
    </dataValidation>
    <dataValidation type="list" allowBlank="1" showInputMessage="1" showErrorMessage="1" errorTitle="Error." error="Please select from the list." promptTitle="First Time? 1 out of 1" prompt="Did any households receive STRMU services for the first time this year (their first STRMU enrollment period and their first 52-week period)?" sqref="AD361:AF361" xr:uid="{231B6568-B231-4938-B9FE-A09643DAAB35}">
      <formula1>$AM$311:$AM$313</formula1>
    </dataValidation>
    <dataValidation type="list" allowBlank="1" showInputMessage="1" showErrorMessage="1" errorTitle="Error." error="Please select from the list." promptTitle="2 out of 2" prompt="Did any households also receive STRMU during their previous 52-week period (enrolled in STRMU at least once during this 52-week period and at least once during their previous 52-week period)?" sqref="AD362:AF362" xr:uid="{7C3F20C4-6100-4C0D-A3AD-A73A6C3B6AA7}">
      <formula1>$AM$311:$AM$313</formula1>
    </dataValidation>
    <dataValidation type="list" allowBlank="1" showInputMessage="1" showErrorMessage="1" errorTitle="Error." error="Please select from the list." promptTitle="3+ out of 5" prompt="Did any households receive STRMU three or more times during their previous five consecutive 52-week periods (enrolled in STRMU at least three times during their previous five consecutive 52-week periods, including this 52-week period)?" sqref="AD363:AF363" xr:uid="{2B472473-8E0F-40F5-A724-69DA263E7EE1}">
      <formula1>$AM$311:$AM$313</formula1>
    </dataValidation>
    <dataValidation type="list" allowBlank="1" showInputMessage="1" showErrorMessage="1" errorTitle="Error." error="Please select from the list." promptTitle="5 out of 5" prompt="Did any households receive STRMU during all five of their previous five consecutive 52-week periods (enrolled in STRMU at least once during each of their previous five consecutive 52-week periods, including this 52-week period)?" sqref="AD364:AF364" xr:uid="{7F5FC0C7-A798-4CED-8942-A50EE113F3F6}">
      <formula1>$AM$311:$AM$313</formula1>
    </dataValidation>
    <dataValidation type="whole" operator="greaterThanOrEqual" allowBlank="1" showInputMessage="1" showErrorMessage="1" prompt="Household received their final service transaction for this annual eligibility period. Household will complete an annual eligibility recertification and resume services in their next annual eligibility period." sqref="AG341:AL341 AG435:AL435 AG387:AL387" xr:uid="{B33B10CB-8A56-4F2B-8FF9-66547BCDE1A2}">
      <formula1>0</formula1>
    </dataValidation>
    <dataValidation type="whole" operator="greaterThanOrEqual" allowBlank="1" showInputMessage="1" showErrorMessage="1" prompt="Services ended. Transitioned to another type of HOPWA housing assistance (permanent, not short-term) provided by either you or another Project Sponsor." sqref="AG342:AL342 AG472:AL472 AG436:AL436 AG388:AL388" xr:uid="{0A69B9F2-292B-401D-9005-498EA6C8CAE9}">
      <formula1>0</formula1>
    </dataValidation>
    <dataValidation type="whole" operator="greaterThanOrEqual" allowBlank="1" showInputMessage="1" showErrorMessage="1" prompt="Services ended. Transitioned to another type of non-HOPWA housing assistance (permanent, not short-term) provided by either you or another entity (e.g., Housing Choice Voucher Program, Veterans Affairs Supportive Housing, etc.)." sqref="AG343:AL343 AG473:AL473 AG437:AL437 AG389:AL389" xr:uid="{FD05E623-2AF2-4FE7-98D4-F6CB6910FB1D}">
      <formula1>0</formula1>
    </dataValidation>
    <dataValidation type="whole" operator="greaterThanOrEqual" allowBlank="1" showInputMessage="1" showErrorMessage="1" prompt="Services ended. Transitioned to private, unassisted, permanent housing and you reasonably expect they will not need additional support (e.g., current or new housing, placement with family, another self-sufficient arrangement, etc.)." sqref="AG344:AL344 AG474:AL474 AG438:AL438 AG390:AL390" xr:uid="{11DCCF04-F2AA-4879-B06A-30E4784E61B3}">
      <formula1>0</formula1>
    </dataValidation>
    <dataValidation type="whole" operator="greaterThanOrEqual" allowBlank="1" showInputMessage="1" showErrorMessage="1" prompt="Services ended. Transitioned to an institutional setting that provides greater support and you expect the term will last more than six months (e.g., residential or long-term care, nursing home, etc.)." sqref="AG345:AL345 AG439:AL439 AG391:AL391" xr:uid="{BBCB7D3A-18E5-4A5D-8054-B33BB06DC9EE}">
      <formula1>0</formula1>
    </dataValidation>
    <dataValidation type="whole" operator="greaterThanOrEqual" allowBlank="1" showInputMessage="1" showErrorMessage="1" prompt="Services ended. Transitioned to an institutional setting that provides greater support and you expect the term will last less than six months (e.g., in-patient rehabilitation, skilled nursing, mental health care, hospice care, etc.)." sqref="AG346:AL346 AG440:AL440 AG392:AL392" xr:uid="{F2A23880-C835-4D07-8367-9A8BFFF0EC8E}">
      <formula1>0</formula1>
    </dataValidation>
    <dataValidation type="whole" operator="greaterThanOrEqual" allowBlank="1" showInputMessage="1" showErrorMessage="1" prompt="Services ended. Transitioned to transitional housing (time-limited up to 24 months)." sqref="AG347:AL347 AG441:AL441 AG394:AL394" xr:uid="{B0A064E9-2024-4A34-9EEB-B1B11B20EE3D}">
      <formula1>0</formula1>
    </dataValidation>
    <dataValidation type="whole" operator="greaterThanOrEqual" allowBlank="1" showInputMessage="1" showErrorMessage="1" prompt="Services ended. Transitioned to a temporary arrangement and you expect the term will last 90 days or less. Their housing situation after those 90 days appears uncertain (e.g., family or friends, hotel/motel, etc.)." sqref="AG348:AL348 AG442:AL442 AG395:AL395" xr:uid="{65F87522-E6F9-42AC-AD64-FEF024EEE121}">
      <formula1>0</formula1>
    </dataValidation>
    <dataValidation type="whole" operator="greaterThanOrEqual" allowBlank="1" showInputMessage="1" showErrorMessage="1" prompt="Services ended. Transitioned to an emergency shelter." sqref="AG349:AL349 AG443:AL443 AG396:AL396" xr:uid="{CA113B53-5E4D-4DA4-828C-A6670403F8AA}">
      <formula1>0</formula1>
    </dataValidation>
    <dataValidation type="whole" operator="greaterThanOrEqual" allowBlank="1" showInputMessage="1" showErrorMessage="1" prompt="Services ended. Transitioned to a place not meant for human habitation (e.g., vehicle, abandoned building, transit station, anywhere outside, etc.)." sqref="AG350:AL350 AG444:AL444 AG397:AL397" xr:uid="{7F653FC7-CFF0-4ED1-807D-6D010B827A25}">
      <formula1>0</formula1>
    </dataValidation>
    <dataValidation type="whole" operator="greaterThanOrEqual" allowBlank="1" showInputMessage="1" showErrorMessage="1" prompt="Services ended. Transitioned to jail or prison and you expect the term will last more than six months." sqref="AG351:AL351 AG445:AL445 AG398:AL398" xr:uid="{5DADA128-67C0-432D-9D66-8EA8F8BB8CFE}">
      <formula1>0</formula1>
    </dataValidation>
    <dataValidation type="whole" operator="greaterThanOrEqual" allowBlank="1" showInputMessage="1" showErrorMessage="1" prompt="Services ended. Transitioned to jail or prison and you expect the term will last less than six months." sqref="AG352:AL352 AG446:AL446 AG399:AL399" xr:uid="{37950AE5-EE15-41DF-BF6E-E2D4FE6CF326}">
      <formula1>0</formula1>
    </dataValidation>
    <dataValidation type="whole" operator="greaterThanOrEqual" allowBlank="1" showInputMessage="1" showErrorMessage="1" prompt="Services ended. Transitioned to an unknown destination (e.g., you cannot contact the household and track their destination despite a good-faith effort). While not uncommon, please use this option sparingly." sqref="AG353:AL353 AG447:AL447 AG400:AL400" xr:uid="{FBFF073E-47CB-42E4-BAF5-50ABB1C13AF8}">
      <formula1>0</formula1>
    </dataValidation>
    <dataValidation type="whole" operator="greaterThanOrEqual" allowBlank="1" showInputMessage="1" showErrorMessage="1" prompt="Services ended. Remained in housing until death. The program will not include this household when measuring overall housing stability outcomes." sqref="AG354:AL354 AG448:AL448 AG401:AL401" xr:uid="{59817EDC-D69D-42BD-811B-EDED1B9091CF}">
      <formula1>0</formula1>
    </dataValidation>
    <dataValidation type="whole" operator="greaterThanOrEqual" allowBlank="1" showInputMessage="1" showErrorMessage="1" prompt="Services ended and you reasonably expect they will need additional STRMU support to maintain current housing arrangements and prevent homelessness." sqref="AG393:AL393" xr:uid="{FA4B4AD1-A4CA-4043-8120-207BFA76C69D}">
      <formula1>0</formula1>
    </dataValidation>
    <dataValidation allowBlank="1" showInputMessage="1" showErrorMessage="1" promptTitle="Friendly Reminder" prompt="Exclude other sources of HOPWA funding from this table. Only include non-HOPWA sources._x000a__x000a_Include sources like State Services, 340B, and any other sources you administered and used for the benefit of households counted in this report or the HOPWA program." sqref="U285:Z285" xr:uid="{5C7CFCF4-7D01-4BB6-96C7-CDC382878EE0}"/>
    <dataValidation type="decimal" operator="greaterThanOrEqual" allowBlank="1" showInputMessage="1" showErrorMessage="1" promptTitle="Program Income Collected: Rent" prompt="For example, if households pay your organization rent, enter the cumulative amount here." sqref="AA292:AF292" xr:uid="{7E64E860-EDF3-41B7-A1F4-FD8064A2E2C0}">
      <formula1>0</formula1>
    </dataValidation>
    <dataValidation type="decimal" operator="greaterThanOrEqual" allowBlank="1" showInputMessage="1" showErrorMessage="1" promptTitle="Program Income Collected: Other" prompt="For example, if owners or utility companies refunded any PHP security or utility deposits, or your organziation collected any other program income generated from the use of HOPWA funds, enter the cumulative amount here." sqref="AA293:AF293" xr:uid="{902073A8-E641-4A51-A2DC-E8992E247AD2}">
      <formula1>0</formula1>
    </dataValidation>
    <dataValidation type="decimal" operator="greaterThanOrEqual" allowBlank="1" showInputMessage="1" showErrorMessage="1" promptTitle="Program Income Expended: Housing" prompt="For example, if you collected program income, enter the amount expended on TBRA, STRMU, FBHA, and PHP." sqref="AA296:AF296" xr:uid="{CA9A6AC1-92A2-4EF7-8888-0FA29672AA10}">
      <formula1>0</formula1>
    </dataValidation>
    <dataValidation type="decimal" operator="greaterThanOrEqual" allowBlank="1" showInputMessage="1" showErrorMessage="1" promptTitle="Program Income Expended: Other" prompt="For example, if you collected program income, enter the amount expended on HCM, HIS, RI, and Project Sponsor Administration." sqref="AA297:AF297" xr:uid="{B3D62C6E-6D56-4575-AF2B-4A22BC2B75AD}">
      <formula1>0</formula1>
    </dataValidation>
    <dataValidation type="decimal" operator="greaterThanOrEqual" allowBlank="1" showInputMessage="1" showErrorMessage="1" promptTitle="Household Rent Payments to Owner" prompt="Enter the cumulative amount of rent paid to owners by households that received housing assistance. Includes the calculated share of rent for rental assistance houseolds, negotiated share of rent for STRMU-assisted households, etc." sqref="AA300:AF300" xr:uid="{18AE5F75-01F9-464E-94E3-554B4F41D3B9}">
      <formula1>0</formula1>
    </dataValidation>
    <dataValidation type="list" allowBlank="1" showInputMessage="1" showErrorMessage="1" errorTitle="Error." error="Please select from the list." promptTitle="Rental Assistance Barriers" prompt="Households offered TBRA, but ultimately went unserved because of barriers to accessing rental assistance (e.g., could not find available units, willing landlords, or units that met the rent standard; income, credit, or background issues; etc.)" sqref="AD499:AF499" xr:uid="{4B369EC0-BC63-490E-B743-F970E92501D9}">
      <formula1>$AM$311:$AM$313</formula1>
    </dataValidation>
  </dataValidations>
  <hyperlinks>
    <hyperlink ref="AJ105:AL105" location="'PPR for Project Sponsors'!AJ105" tooltip="To start a new paragraph in a single cell, hit Alt+Enter." display="Tip" xr:uid="{B052D816-0BFB-478A-B755-1019245D48E6}"/>
    <hyperlink ref="AJ113:AL113" location="'PPR for Project Sponsors'!AJ113" tooltip="To start a new paragraph in a single cell, hit Alt+Enter." display="Tip" xr:uid="{6757BAAA-EBE7-4F84-BA40-40BC94067D72}"/>
    <hyperlink ref="AJ120:AL120" location="'PPR for Project Sponsors'!AJ120" tooltip="To start a new paragraph in a single cell, hit Alt+Enter." display="Tip" xr:uid="{75AA90E9-3A03-4695-9380-34FF4CC2B333}"/>
    <hyperlink ref="AJ140:AL140" location="'PPR for Project Sponsors'!AJ140" tooltip="To start a new paragraph in a single cell, hit Alt+Enter." display="Tip" xr:uid="{97271F49-08D5-48FB-B420-70015039C162}"/>
    <hyperlink ref="AJ144:AL144" location="'PPR for Project Sponsors'!AJ144" tooltip="To start a new paragraph in a single cell, hit Alt+Enter." display="Tip" xr:uid="{B911FBAA-B9B6-4F0D-9850-A59F338E41E3}"/>
    <hyperlink ref="AJ484:AL484" location="'PPR for Project Sponsors'!AJ481" tooltip="To start a new paragraph in a single cell, hit Alt+Enter." display="Tip" xr:uid="{1B181C8A-F882-4D71-8DB7-9F30B49A3EA2}"/>
    <hyperlink ref="AJ136:AL136" location="'PPR for Project Sponsors'!AJ136" tooltip="To start a new paragraph in a single cell, hit Alt+Enter." display="Tip" xr:uid="{FFF62406-6E4A-4935-8456-75608062E104}"/>
    <hyperlink ref="S28:S31" location="'PPR for Project Sponsors'!A1" tooltip="Only select activities performed. If you have an allocation for an activity, but have not performed the activity, do not select the activity. If you select an activity, you must have household and/or expenditure outputs to report." display="?" xr:uid="{35FF2824-D07C-4B15-B1D9-7D06CC20A2E9}"/>
  </hyperlinks>
  <printOptions horizontalCentered="1"/>
  <pageMargins left="0.25" right="0.25" top="0.25" bottom="0.25" header="0.25" footer="0.25"/>
  <pageSetup scale="99" fitToWidth="0" fitToHeight="0" orientation="landscape" r:id="rId1"/>
  <headerFooter>
    <oddFooter>&amp;L&amp;"-,Regular"&amp;8&amp;K00-038DSHS HOPWA Program Progress Report (PPR) for Project Sponsors&amp;C&amp;"-,Regular"&amp;8&amp;K00-039&amp;P of &amp;N&amp;R&amp;"-,Regular"&amp;8&amp;K00-039Previous versions are obsolete (09/01/24)</oddFooter>
  </headerFooter>
  <rowBreaks count="13" manualBreakCount="13">
    <brk id="42" max="16383" man="1"/>
    <brk id="90" max="16383" man="1"/>
    <brk id="121" max="16383" man="1"/>
    <brk id="153" max="16383" man="1"/>
    <brk id="201" max="16383" man="1"/>
    <brk id="240" max="16383" man="1"/>
    <brk id="270" max="16383" man="1"/>
    <brk id="305" max="16383" man="1"/>
    <brk id="355" max="16383" man="1"/>
    <brk id="402" max="16383" man="1"/>
    <brk id="449" max="16383" man="1"/>
    <brk id="475" max="16383" man="1"/>
    <brk id="5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10" r:id="rId4" name="Check Box 86">
              <controlPr defaultSize="0" autoFill="0" autoLine="0" autoPict="0">
                <anchor moveWithCells="1">
                  <from>
                    <xdr:col>0</xdr:col>
                    <xdr:colOff>0</xdr:colOff>
                    <xdr:row>198</xdr:row>
                    <xdr:rowOff>0</xdr:rowOff>
                  </from>
                  <to>
                    <xdr:col>0</xdr:col>
                    <xdr:colOff>228600</xdr:colOff>
                    <xdr:row>199</xdr:row>
                    <xdr:rowOff>0</xdr:rowOff>
                  </to>
                </anchor>
              </controlPr>
            </control>
          </mc:Choice>
        </mc:AlternateContent>
        <mc:AlternateContent xmlns:mc="http://schemas.openxmlformats.org/markup-compatibility/2006">
          <mc:Choice Requires="x14">
            <control shapeId="1118" r:id="rId5" name="Check Box 94">
              <controlPr defaultSize="0" autoFill="0" autoLine="0" autoPict="0">
                <anchor moveWithCells="1">
                  <from>
                    <xdr:col>0</xdr:col>
                    <xdr:colOff>0</xdr:colOff>
                    <xdr:row>27</xdr:row>
                    <xdr:rowOff>0</xdr:rowOff>
                  </from>
                  <to>
                    <xdr:col>0</xdr:col>
                    <xdr:colOff>228600</xdr:colOff>
                    <xdr:row>28</xdr:row>
                    <xdr:rowOff>19050</xdr:rowOff>
                  </to>
                </anchor>
              </controlPr>
            </control>
          </mc:Choice>
        </mc:AlternateContent>
        <mc:AlternateContent xmlns:mc="http://schemas.openxmlformats.org/markup-compatibility/2006">
          <mc:Choice Requires="x14">
            <control shapeId="1119" r:id="rId6" name="Check Box 95">
              <controlPr defaultSize="0" autoFill="0" autoLine="0" autoPict="0">
                <anchor moveWithCells="1">
                  <from>
                    <xdr:col>0</xdr:col>
                    <xdr:colOff>0</xdr:colOff>
                    <xdr:row>28</xdr:row>
                    <xdr:rowOff>0</xdr:rowOff>
                  </from>
                  <to>
                    <xdr:col>0</xdr:col>
                    <xdr:colOff>228600</xdr:colOff>
                    <xdr:row>29</xdr:row>
                    <xdr:rowOff>19050</xdr:rowOff>
                  </to>
                </anchor>
              </controlPr>
            </control>
          </mc:Choice>
        </mc:AlternateContent>
        <mc:AlternateContent xmlns:mc="http://schemas.openxmlformats.org/markup-compatibility/2006">
          <mc:Choice Requires="x14">
            <control shapeId="1120" r:id="rId7" name="Check Box 96">
              <controlPr defaultSize="0" autoFill="0" autoLine="0" autoPict="0">
                <anchor moveWithCells="1">
                  <from>
                    <xdr:col>0</xdr:col>
                    <xdr:colOff>0</xdr:colOff>
                    <xdr:row>29</xdr:row>
                    <xdr:rowOff>0</xdr:rowOff>
                  </from>
                  <to>
                    <xdr:col>0</xdr:col>
                    <xdr:colOff>228600</xdr:colOff>
                    <xdr:row>30</xdr:row>
                    <xdr:rowOff>19050</xdr:rowOff>
                  </to>
                </anchor>
              </controlPr>
            </control>
          </mc:Choice>
        </mc:AlternateContent>
        <mc:AlternateContent xmlns:mc="http://schemas.openxmlformats.org/markup-compatibility/2006">
          <mc:Choice Requires="x14">
            <control shapeId="1121" r:id="rId8" name="Check Box 97">
              <controlPr defaultSize="0" autoFill="0" autoLine="0" autoPict="0">
                <anchor moveWithCells="1">
                  <from>
                    <xdr:col>0</xdr:col>
                    <xdr:colOff>0</xdr:colOff>
                    <xdr:row>30</xdr:row>
                    <xdr:rowOff>0</xdr:rowOff>
                  </from>
                  <to>
                    <xdr:col>0</xdr:col>
                    <xdr:colOff>228600</xdr:colOff>
                    <xdr:row>31</xdr:row>
                    <xdr:rowOff>19050</xdr:rowOff>
                  </to>
                </anchor>
              </controlPr>
            </control>
          </mc:Choice>
        </mc:AlternateContent>
        <mc:AlternateContent xmlns:mc="http://schemas.openxmlformats.org/markup-compatibility/2006">
          <mc:Choice Requires="x14">
            <control shapeId="1122" r:id="rId9" name="Check Box 98">
              <controlPr defaultSize="0" autoFill="0" autoLine="0" autoPict="0">
                <anchor moveWithCells="1">
                  <from>
                    <xdr:col>10</xdr:col>
                    <xdr:colOff>0</xdr:colOff>
                    <xdr:row>27</xdr:row>
                    <xdr:rowOff>0</xdr:rowOff>
                  </from>
                  <to>
                    <xdr:col>10</xdr:col>
                    <xdr:colOff>228600</xdr:colOff>
                    <xdr:row>28</xdr:row>
                    <xdr:rowOff>19050</xdr:rowOff>
                  </to>
                </anchor>
              </controlPr>
            </control>
          </mc:Choice>
        </mc:AlternateContent>
        <mc:AlternateContent xmlns:mc="http://schemas.openxmlformats.org/markup-compatibility/2006">
          <mc:Choice Requires="x14">
            <control shapeId="1123" r:id="rId10" name="Check Box 99">
              <controlPr defaultSize="0" autoFill="0" autoLine="0" autoPict="0">
                <anchor moveWithCells="1">
                  <from>
                    <xdr:col>10</xdr:col>
                    <xdr:colOff>0</xdr:colOff>
                    <xdr:row>28</xdr:row>
                    <xdr:rowOff>0</xdr:rowOff>
                  </from>
                  <to>
                    <xdr:col>10</xdr:col>
                    <xdr:colOff>228600</xdr:colOff>
                    <xdr:row>29</xdr:row>
                    <xdr:rowOff>19050</xdr:rowOff>
                  </to>
                </anchor>
              </controlPr>
            </control>
          </mc:Choice>
        </mc:AlternateContent>
        <mc:AlternateContent xmlns:mc="http://schemas.openxmlformats.org/markup-compatibility/2006">
          <mc:Choice Requires="x14">
            <control shapeId="1124" r:id="rId11" name="Check Box 100">
              <controlPr defaultSize="0" autoFill="0" autoLine="0" autoPict="0">
                <anchor moveWithCells="1">
                  <from>
                    <xdr:col>10</xdr:col>
                    <xdr:colOff>0</xdr:colOff>
                    <xdr:row>29</xdr:row>
                    <xdr:rowOff>0</xdr:rowOff>
                  </from>
                  <to>
                    <xdr:col>10</xdr:col>
                    <xdr:colOff>228600</xdr:colOff>
                    <xdr:row>30</xdr:row>
                    <xdr:rowOff>19050</xdr:rowOff>
                  </to>
                </anchor>
              </controlPr>
            </control>
          </mc:Choice>
        </mc:AlternateContent>
        <mc:AlternateContent xmlns:mc="http://schemas.openxmlformats.org/markup-compatibility/2006">
          <mc:Choice Requires="x14">
            <control shapeId="1125" r:id="rId12" name="Check Box 101">
              <controlPr defaultSize="0" autoFill="0" autoLine="0" autoPict="0">
                <anchor moveWithCells="1">
                  <from>
                    <xdr:col>10</xdr:col>
                    <xdr:colOff>0</xdr:colOff>
                    <xdr:row>30</xdr:row>
                    <xdr:rowOff>0</xdr:rowOff>
                  </from>
                  <to>
                    <xdr:col>10</xdr:col>
                    <xdr:colOff>228600</xdr:colOff>
                    <xdr:row>31</xdr:row>
                    <xdr:rowOff>19050</xdr:rowOff>
                  </to>
                </anchor>
              </controlPr>
            </control>
          </mc:Choice>
        </mc:AlternateContent>
        <mc:AlternateContent xmlns:mc="http://schemas.openxmlformats.org/markup-compatibility/2006">
          <mc:Choice Requires="x14">
            <control shapeId="1127" r:id="rId13" name="Check Box 103">
              <controlPr defaultSize="0" autoFill="0" autoLine="0" autoPict="0">
                <anchor moveWithCells="1">
                  <from>
                    <xdr:col>19</xdr:col>
                    <xdr:colOff>0</xdr:colOff>
                    <xdr:row>21</xdr:row>
                    <xdr:rowOff>152400</xdr:rowOff>
                  </from>
                  <to>
                    <xdr:col>20</xdr:col>
                    <xdr:colOff>66675</xdr:colOff>
                    <xdr:row>23</xdr:row>
                    <xdr:rowOff>19050</xdr:rowOff>
                  </to>
                </anchor>
              </controlPr>
            </control>
          </mc:Choice>
        </mc:AlternateContent>
        <mc:AlternateContent xmlns:mc="http://schemas.openxmlformats.org/markup-compatibility/2006">
          <mc:Choice Requires="x14">
            <control shapeId="1128" r:id="rId14" name="Check Box 104">
              <controlPr defaultSize="0" autoFill="0" autoLine="0" autoPict="0">
                <anchor moveWithCells="1">
                  <from>
                    <xdr:col>19</xdr:col>
                    <xdr:colOff>0</xdr:colOff>
                    <xdr:row>22</xdr:row>
                    <xdr:rowOff>133350</xdr:rowOff>
                  </from>
                  <to>
                    <xdr:col>20</xdr:col>
                    <xdr:colOff>66675</xdr:colOff>
                    <xdr:row>24</xdr:row>
                    <xdr:rowOff>9525</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19</xdr:col>
                    <xdr:colOff>0</xdr:colOff>
                    <xdr:row>198</xdr:row>
                    <xdr:rowOff>0</xdr:rowOff>
                  </from>
                  <to>
                    <xdr:col>19</xdr:col>
                    <xdr:colOff>228600</xdr:colOff>
                    <xdr:row>199</xdr:row>
                    <xdr:rowOff>0</xdr:rowOff>
                  </to>
                </anchor>
              </controlPr>
            </control>
          </mc:Choice>
        </mc:AlternateContent>
        <mc:AlternateContent xmlns:mc="http://schemas.openxmlformats.org/markup-compatibility/2006">
          <mc:Choice Requires="x14">
            <control shapeId="1135" r:id="rId16" name="Check Box 111">
              <controlPr defaultSize="0" autoFill="0" autoLine="0" autoPict="0">
                <anchor moveWithCells="1">
                  <from>
                    <xdr:col>0</xdr:col>
                    <xdr:colOff>0</xdr:colOff>
                    <xdr:row>301</xdr:row>
                    <xdr:rowOff>0</xdr:rowOff>
                  </from>
                  <to>
                    <xdr:col>0</xdr:col>
                    <xdr:colOff>228600</xdr:colOff>
                    <xdr:row>302</xdr:row>
                    <xdr:rowOff>0</xdr:rowOff>
                  </to>
                </anchor>
              </controlPr>
            </control>
          </mc:Choice>
        </mc:AlternateContent>
        <mc:AlternateContent xmlns:mc="http://schemas.openxmlformats.org/markup-compatibility/2006">
          <mc:Choice Requires="x14">
            <control shapeId="1136" r:id="rId17" name="Check Box 112">
              <controlPr defaultSize="0" autoFill="0" autoLine="0" autoPict="0">
                <anchor moveWithCells="1">
                  <from>
                    <xdr:col>19</xdr:col>
                    <xdr:colOff>0</xdr:colOff>
                    <xdr:row>301</xdr:row>
                    <xdr:rowOff>0</xdr:rowOff>
                  </from>
                  <to>
                    <xdr:col>19</xdr:col>
                    <xdr:colOff>228600</xdr:colOff>
                    <xdr:row>302</xdr:row>
                    <xdr:rowOff>0</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0</xdr:col>
                    <xdr:colOff>0</xdr:colOff>
                    <xdr:row>302</xdr:row>
                    <xdr:rowOff>0</xdr:rowOff>
                  </from>
                  <to>
                    <xdr:col>0</xdr:col>
                    <xdr:colOff>228600</xdr:colOff>
                    <xdr:row>303</xdr:row>
                    <xdr:rowOff>0</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19</xdr:col>
                    <xdr:colOff>0</xdr:colOff>
                    <xdr:row>302</xdr:row>
                    <xdr:rowOff>0</xdr:rowOff>
                  </from>
                  <to>
                    <xdr:col>19</xdr:col>
                    <xdr:colOff>228600</xdr:colOff>
                    <xdr:row>303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PPR for Project Sponsors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Berkman,Blade L (DSHS)</dc:creator>
  <cp:lastModifiedBy>Berkman,Blade L (DSHS)</cp:lastModifiedBy>
  <cp:lastPrinted>2023-04-06T18:08:59Z</cp:lastPrinted>
  <dcterms:created xsi:type="dcterms:W3CDTF">2017-02-23T16:16:09Z</dcterms:created>
  <dcterms:modified xsi:type="dcterms:W3CDTF">2024-07-21T04:41:15Z</dcterms:modified>
</cp:coreProperties>
</file>